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920" yWindow="-120" windowWidth="19420" windowHeight="11020" activeTab="1"/>
  </bookViews>
  <sheets>
    <sheet name="PTBA 2023 CERViDA" sheetId="30" r:id="rId1"/>
    <sheet name="RECAPITULATIF" sheetId="31" r:id="rId2"/>
    <sheet name="Feuil2" sheetId="33" r:id="rId3"/>
  </sheets>
  <definedNames>
    <definedName name="_xlnm.Print_Area" localSheetId="0">'PTBA 2023 CERViDA'!$A$1:$Z$128</definedName>
    <definedName name="_xlnm.Print_Area" localSheetId="1">RECAPITULATIF!$A$3:$E$12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1" l="1"/>
  <c r="F10" i="31"/>
  <c r="F9" i="31"/>
  <c r="F8" i="31"/>
  <c r="F7" i="31"/>
  <c r="F6" i="31"/>
  <c r="W179" i="30" l="1"/>
  <c r="V179" i="30"/>
  <c r="V182" i="30"/>
  <c r="V181" i="30"/>
  <c r="V180" i="30"/>
  <c r="V177" i="30"/>
  <c r="V175" i="30"/>
  <c r="V173" i="30"/>
  <c r="V172" i="30"/>
  <c r="V174" i="30"/>
  <c r="V171" i="30"/>
  <c r="V178" i="30"/>
  <c r="V176" i="30"/>
  <c r="V169" i="30"/>
  <c r="W169" i="30"/>
  <c r="W166" i="30"/>
  <c r="V166" i="30"/>
  <c r="V170" i="30"/>
  <c r="V168" i="30"/>
  <c r="V167" i="30"/>
  <c r="V164" i="30"/>
  <c r="V163" i="30"/>
  <c r="V161" i="30"/>
  <c r="W164" i="30"/>
  <c r="W161" i="30"/>
  <c r="W163" i="30"/>
  <c r="W159" i="30"/>
  <c r="V162" i="30"/>
  <c r="V160" i="30"/>
  <c r="V159" i="30"/>
  <c r="W151" i="30"/>
  <c r="V154" i="30"/>
  <c r="V152" i="30"/>
  <c r="V158" i="30"/>
  <c r="V151" i="30"/>
  <c r="V157" i="30"/>
  <c r="V156" i="30"/>
  <c r="V153" i="30"/>
  <c r="V148" i="30"/>
  <c r="V149" i="30"/>
  <c r="W149" i="30"/>
  <c r="W148" i="30"/>
  <c r="W144" i="30"/>
  <c r="V146" i="30"/>
  <c r="V147" i="30"/>
  <c r="V150" i="30"/>
  <c r="V145" i="30"/>
  <c r="V144" i="30"/>
  <c r="W138" i="30"/>
  <c r="V138" i="30"/>
  <c r="V139" i="30"/>
  <c r="V140" i="30"/>
  <c r="V141" i="30"/>
  <c r="W131" i="30"/>
  <c r="V132" i="30"/>
  <c r="V131" i="30"/>
  <c r="V135" i="30"/>
  <c r="V137" i="30"/>
  <c r="V133" i="30"/>
  <c r="V136" i="30"/>
  <c r="V69" i="30"/>
  <c r="V23" i="30"/>
  <c r="V82" i="30"/>
  <c r="V113" i="30"/>
  <c r="W113" i="30"/>
  <c r="V71" i="30"/>
  <c r="W71" i="30"/>
  <c r="W70" i="30"/>
  <c r="V55" i="30"/>
  <c r="V98" i="30"/>
  <c r="V97" i="30"/>
  <c r="V115" i="30"/>
  <c r="V63" i="30"/>
  <c r="V60" i="30"/>
  <c r="V102" i="30"/>
  <c r="V18" i="30"/>
  <c r="W18" i="30"/>
  <c r="V12" i="30"/>
  <c r="W12" i="30"/>
  <c r="V165" i="30"/>
  <c r="V143" i="30"/>
  <c r="V142" i="30"/>
  <c r="W142" i="30"/>
  <c r="V118" i="30"/>
  <c r="V92" i="30"/>
  <c r="V91" i="30"/>
  <c r="V89" i="30"/>
  <c r="V65" i="30"/>
  <c r="W60" i="30"/>
  <c r="V58" i="30"/>
  <c r="W58" i="30"/>
  <c r="W55" i="30"/>
  <c r="V54" i="30"/>
  <c r="V51" i="30"/>
  <c r="W51" i="30"/>
  <c r="V45" i="30"/>
  <c r="W45" i="30"/>
  <c r="V43" i="30"/>
  <c r="W43" i="30"/>
  <c r="V39" i="30"/>
  <c r="W39" i="30"/>
  <c r="V37" i="30"/>
  <c r="V30" i="30"/>
  <c r="V28" i="30"/>
  <c r="V27" i="30"/>
  <c r="V26" i="30"/>
  <c r="V19" i="30"/>
  <c r="V16" i="30"/>
  <c r="V13" i="30"/>
  <c r="W13" i="30"/>
  <c r="V11" i="30"/>
  <c r="W11" i="30"/>
  <c r="W145" i="30"/>
  <c r="W146" i="30"/>
  <c r="W147" i="30"/>
  <c r="W150" i="30"/>
  <c r="W152" i="30"/>
  <c r="W153" i="30"/>
  <c r="W154" i="30"/>
  <c r="W155" i="30"/>
  <c r="W156" i="30"/>
  <c r="W157" i="30"/>
  <c r="W158" i="30"/>
  <c r="W160" i="30"/>
  <c r="W162" i="30"/>
  <c r="W167" i="30"/>
  <c r="W168" i="30"/>
  <c r="W170" i="30"/>
  <c r="W171" i="30"/>
  <c r="W172" i="30"/>
  <c r="W173" i="30"/>
  <c r="W174" i="30"/>
  <c r="W175" i="30"/>
  <c r="W176" i="30"/>
  <c r="W177" i="30"/>
  <c r="W178" i="30"/>
  <c r="W180" i="30"/>
  <c r="W181" i="30"/>
  <c r="W182" i="30"/>
  <c r="W133" i="30"/>
  <c r="W134" i="30"/>
  <c r="W135" i="30"/>
  <c r="W136" i="30"/>
  <c r="W137" i="30"/>
  <c r="W139" i="30"/>
  <c r="W140" i="30"/>
  <c r="W141" i="30"/>
  <c r="W132" i="30"/>
  <c r="V130" i="30"/>
  <c r="W130" i="30"/>
  <c r="W128" i="30"/>
  <c r="W116" i="30"/>
  <c r="W117" i="30"/>
  <c r="W119" i="30"/>
  <c r="W120" i="30"/>
  <c r="W121" i="30"/>
  <c r="W109" i="30"/>
  <c r="W107" i="30"/>
  <c r="W101" i="30"/>
  <c r="W103" i="30"/>
  <c r="W90" i="30"/>
  <c r="W93" i="30"/>
  <c r="W94" i="30"/>
  <c r="W95" i="30"/>
  <c r="W96" i="30"/>
  <c r="W78" i="30"/>
  <c r="W79" i="30"/>
  <c r="W80" i="30"/>
  <c r="W81" i="30"/>
  <c r="W83" i="30"/>
  <c r="W84" i="30"/>
  <c r="W85" i="30"/>
  <c r="W86" i="30"/>
  <c r="W77" i="30"/>
  <c r="W64" i="30"/>
  <c r="W49" i="30"/>
  <c r="W50" i="30"/>
  <c r="W52" i="30"/>
  <c r="W53" i="30"/>
  <c r="W57" i="30"/>
  <c r="W48" i="30"/>
  <c r="W41" i="30"/>
  <c r="W44" i="30"/>
  <c r="W14" i="30"/>
  <c r="V129" i="30"/>
  <c r="W143" i="30"/>
  <c r="W165" i="30"/>
  <c r="W54" i="30"/>
  <c r="W69" i="30"/>
  <c r="V73" i="30"/>
  <c r="W73" i="30"/>
  <c r="V111" i="30"/>
  <c r="W111" i="30"/>
  <c r="V127" i="30"/>
  <c r="W127" i="30"/>
  <c r="V126" i="30"/>
  <c r="W126" i="30"/>
  <c r="V34" i="30"/>
  <c r="W34" i="30"/>
  <c r="V33" i="30"/>
  <c r="W33" i="30"/>
  <c r="W30" i="30"/>
  <c r="V17" i="30"/>
  <c r="W17" i="30"/>
  <c r="W16" i="30"/>
  <c r="V15" i="30"/>
  <c r="W15" i="30"/>
  <c r="V24" i="30"/>
  <c r="W24" i="30"/>
  <c r="V125" i="30"/>
  <c r="V20" i="30"/>
  <c r="W20" i="30"/>
  <c r="V21" i="30"/>
  <c r="W21" i="30"/>
  <c r="W37" i="30"/>
  <c r="V123" i="30"/>
  <c r="W123" i="30"/>
  <c r="V122" i="30"/>
  <c r="W122" i="30"/>
  <c r="W118" i="30"/>
  <c r="W115" i="30"/>
  <c r="V112" i="30"/>
  <c r="W112" i="30"/>
  <c r="V110" i="30"/>
  <c r="W110" i="30"/>
  <c r="V108" i="30"/>
  <c r="V104" i="30"/>
  <c r="W104" i="30"/>
  <c r="W102" i="30"/>
  <c r="V100" i="30"/>
  <c r="W100" i="30"/>
  <c r="W98" i="30"/>
  <c r="W97" i="30"/>
  <c r="W92" i="30"/>
  <c r="W91" i="30"/>
  <c r="W89" i="30"/>
  <c r="V87" i="30"/>
  <c r="W87" i="30"/>
  <c r="W82" i="30"/>
  <c r="V74" i="30"/>
  <c r="W74" i="30"/>
  <c r="V68" i="30"/>
  <c r="W68" i="30"/>
  <c r="V67" i="30"/>
  <c r="W65" i="30"/>
  <c r="W63" i="30"/>
  <c r="V62" i="30"/>
  <c r="W62" i="30"/>
  <c r="W108" i="30"/>
  <c r="V106" i="30"/>
  <c r="W67" i="30"/>
  <c r="V66" i="30"/>
  <c r="V124" i="30"/>
  <c r="W125" i="30"/>
  <c r="W129" i="30"/>
  <c r="C11" i="31"/>
  <c r="D11" i="31"/>
  <c r="V32" i="30"/>
  <c r="W32" i="30"/>
  <c r="W124" i="30"/>
  <c r="V31" i="30"/>
  <c r="W31" i="30"/>
  <c r="V29" i="30"/>
  <c r="W29" i="30"/>
  <c r="W28" i="30"/>
  <c r="W27" i="30"/>
  <c r="W26" i="30"/>
  <c r="V25" i="30"/>
  <c r="W25" i="30"/>
  <c r="W23" i="30"/>
  <c r="V22" i="30"/>
  <c r="W22" i="30"/>
  <c r="W19" i="30"/>
  <c r="V99" i="30"/>
  <c r="W99" i="30"/>
  <c r="V61" i="30"/>
  <c r="W61" i="30"/>
  <c r="V38" i="30"/>
  <c r="W38" i="30"/>
  <c r="V10" i="30"/>
  <c r="V59" i="30"/>
  <c r="W59" i="30"/>
  <c r="V36" i="30"/>
  <c r="W36" i="30"/>
  <c r="V9" i="30"/>
  <c r="W9" i="30"/>
  <c r="W10" i="30"/>
  <c r="W106" i="30"/>
  <c r="V114" i="30"/>
  <c r="W114" i="30"/>
  <c r="V105" i="30"/>
  <c r="X72" i="30"/>
  <c r="V72" i="30"/>
  <c r="W72" i="30"/>
  <c r="W105" i="30"/>
  <c r="W66" i="30"/>
  <c r="V47" i="30"/>
  <c r="W47" i="30"/>
  <c r="V35" i="30"/>
  <c r="V76" i="30"/>
  <c r="W76" i="30"/>
  <c r="W35" i="30"/>
  <c r="C7" i="31"/>
  <c r="V88" i="30"/>
  <c r="W88" i="30"/>
  <c r="C6" i="31"/>
  <c r="D6" i="31"/>
  <c r="C10" i="31"/>
  <c r="D10" i="31"/>
  <c r="C9" i="31"/>
  <c r="V75" i="30"/>
  <c r="W75" i="30"/>
  <c r="V183" i="30"/>
  <c r="W183" i="30"/>
  <c r="C8" i="31"/>
  <c r="C12" i="31"/>
  <c r="D7" i="31"/>
  <c r="D9" i="31"/>
  <c r="E10" i="31"/>
  <c r="E11" i="31"/>
  <c r="E8" i="31"/>
  <c r="E7" i="31"/>
  <c r="E9" i="31"/>
  <c r="E6" i="31"/>
  <c r="E12" i="31"/>
  <c r="D8" i="31"/>
  <c r="D12" i="31"/>
</calcChain>
</file>

<file path=xl/sharedStrings.xml><?xml version="1.0" encoding="utf-8"?>
<sst xmlns="http://schemas.openxmlformats.org/spreadsheetml/2006/main" count="1461" uniqueCount="391">
  <si>
    <t>Université de Lomé/MESR</t>
  </si>
  <si>
    <t>Dans les délais prévus</t>
  </si>
  <si>
    <t>TOGO</t>
  </si>
  <si>
    <t xml:space="preserve"> </t>
  </si>
  <si>
    <t>Prof.  Coffi AHOLOU</t>
  </si>
  <si>
    <t>En retard sur le programme</t>
  </si>
  <si>
    <t>Activités du plan de travail</t>
  </si>
  <si>
    <t>Description</t>
  </si>
  <si>
    <t>Contribution des partenaires
 (le cas échéant)</t>
  </si>
  <si>
    <t>2023 Y2Q1</t>
  </si>
  <si>
    <t>2023 Y2Q2</t>
  </si>
  <si>
    <t>2023 Y2Q3</t>
  </si>
  <si>
    <t>2023 Y2Q4</t>
  </si>
  <si>
    <t>Etapes / Résultats</t>
  </si>
  <si>
    <t>Si NOUVEAU, fournir une justification</t>
  </si>
  <si>
    <t>Budget estimé en dollar</t>
  </si>
  <si>
    <t>Budget en F CFA</t>
  </si>
  <si>
    <t>Estimation des recettes (dollar)</t>
  </si>
  <si>
    <t>Contribution du partenaire (dollar)</t>
  </si>
  <si>
    <t>Responsable</t>
  </si>
  <si>
    <t>J</t>
  </si>
  <si>
    <t>F</t>
  </si>
  <si>
    <t>M</t>
  </si>
  <si>
    <t>A</t>
  </si>
  <si>
    <t>S</t>
  </si>
  <si>
    <t>O</t>
  </si>
  <si>
    <t>N</t>
  </si>
  <si>
    <t>D</t>
  </si>
  <si>
    <t>Axe 1: GOUVERNANCE ET FONCTIONNEMENT DLI1-DLI6</t>
  </si>
  <si>
    <t>Action 1a: Opérationnalisation de l’administration du CERViDA-DOUNEDON</t>
  </si>
  <si>
    <t xml:space="preserve">Payer les salaires du personnel technique </t>
  </si>
  <si>
    <t>X</t>
  </si>
  <si>
    <t>Les salaires du personnel sont payés</t>
  </si>
  <si>
    <t>Direction CERViDA-DOUNEDON</t>
  </si>
  <si>
    <t>Payer les indemnités des stagiaires</t>
  </si>
  <si>
    <t>Les indemnités des stagiaires sont payés</t>
  </si>
  <si>
    <t>Assurer le personnel du centre</t>
  </si>
  <si>
    <t>Le personnel du centre est assuré</t>
  </si>
  <si>
    <t>Elaborer et valider la stratégie  de communication</t>
  </si>
  <si>
    <t xml:space="preserve">La stratégie  de communication du centre est élaborée </t>
  </si>
  <si>
    <t>Le site Web du centre est  régulièrement mise à jour</t>
  </si>
  <si>
    <t>Prendre des engagements médiatiques</t>
  </si>
  <si>
    <t>Les pages publicitaires dans la presse écrite sont confectionnés</t>
  </si>
  <si>
    <t>Achat de credit de communication et internet pour le fonctionnement</t>
  </si>
  <si>
    <t>Le personnel du centre est doté de credit de communication et internet pour le fonctionnement</t>
  </si>
  <si>
    <t>Produire les outils de communication - bulletins d’information,  brochures, fiches d’information, gadgets, T-Shirt, infographies,vidéos</t>
  </si>
  <si>
    <t xml:space="preserve">Les spots publicitaires (audio et télé) sont réalisés
Les émissions (télé, radio) sont réalisées
Le prospectus du centre est élaboré
Le réseau téléphonique est installés
</t>
  </si>
  <si>
    <t>Installer le reseau internet haut debit</t>
  </si>
  <si>
    <t>Le réseau internet haut débit est disponible</t>
  </si>
  <si>
    <t>Abonner au réseau internet haut débit (Connexion internet)</t>
  </si>
  <si>
    <t xml:space="preserve">Acquérir les consommables  informatiques et fournitures ( tonner, encre, papier rames, etc.) </t>
  </si>
  <si>
    <t>Les consommables informatiques et fournitures et fournitures de bureaux sont acquis</t>
  </si>
  <si>
    <t>Acquérir les matériels informatiques complémentaires</t>
  </si>
  <si>
    <t>Les matériels informatiques complémentaires sont acquis</t>
  </si>
  <si>
    <t>Acquerir les mobiliers de bureau</t>
  </si>
  <si>
    <t>Les mobiliers de bureaux sont acquis</t>
  </si>
  <si>
    <t>Maintenir et mettre à jour le logiciel Tom2pro et autres</t>
  </si>
  <si>
    <t>La maintenance du logiciel Tom2po et autres est réalisée</t>
  </si>
  <si>
    <t>Réaliser l'audit interne</t>
  </si>
  <si>
    <t>L'audit interne est réalisé</t>
  </si>
  <si>
    <t>Auditeur interne de l'Université, CERViDA-DOUNEDON</t>
  </si>
  <si>
    <t>Réaliser l'audit externe</t>
  </si>
  <si>
    <t>L'audit externe est réalisé</t>
  </si>
  <si>
    <t>Cabinet d'audit, CERViDA-DOUNEDON</t>
  </si>
  <si>
    <t>Tenir les réunions de coordination</t>
  </si>
  <si>
    <t>Les réunions de coordination sont tenues</t>
  </si>
  <si>
    <t>CERViDA-DOUNEDON</t>
  </si>
  <si>
    <t>Organiser 2 réunions du Comité consultatif sectoriel (CCS)</t>
  </si>
  <si>
    <t>2 réunions du CCS  sont organisées</t>
  </si>
  <si>
    <t>CCS,  CoPiL et CERViDA-DOUNEDON</t>
  </si>
  <si>
    <t xml:space="preserve">Organiser une (1) réunion du Comité Scientifique International (CSI) </t>
  </si>
  <si>
    <t>1 réunion du CSI est organisée</t>
  </si>
  <si>
    <t>CSI, CoPiL et CERViDA-DOUNEDON</t>
  </si>
  <si>
    <t>Entretenir et réparer des véhicules</t>
  </si>
  <si>
    <t>Les véhicules sont entretenus et réparés</t>
  </si>
  <si>
    <t>Acheter du carburant pour le fonctionnement, les missions au Togo et les missions de formations de courtes durée dans les pays limitrophes</t>
  </si>
  <si>
    <t>La quantité de carburant nécessaire pour le fonctionnement et pour les missions de formations de courtes durée est mise à la disposition du CERViDA-DOUNEDON</t>
  </si>
  <si>
    <t>Assurer les deux (2) véhicules</t>
  </si>
  <si>
    <t>Les deux véhicules sont assurés</t>
  </si>
  <si>
    <t>Autres éléments du fonctionnement (électricité, eau, courrier, frais bancaires, etc)</t>
  </si>
  <si>
    <t>Les autres élément du fonctionnement sont assurés</t>
  </si>
  <si>
    <t>Axe 2 : EXCELLENCE DANS LA FORMATION DLI 3-4</t>
  </si>
  <si>
    <t>Action 2 a: Accompagnement des Masters existants</t>
  </si>
  <si>
    <t>Réaliser huit (8) sorties pédagogiques (assurance accident des étudiants hébergement, location de bus, etc)</t>
  </si>
  <si>
    <t>Huit sorties pédagogiques sont réalisées</t>
  </si>
  <si>
    <t>CERVIDA-DOUNEDON</t>
  </si>
  <si>
    <t>Action 2b : Création du Master professionnel du CERVIDA-DOUNEDON</t>
  </si>
  <si>
    <t>Sélection de la thématique du master (la thématique devra déboucher sur le titre du master)</t>
  </si>
  <si>
    <t>L'inventaire des thématiques en lien avec les prospectives territoriales et  la planification urbaine est réalisé</t>
  </si>
  <si>
    <t xml:space="preserve">Proposition des thématiques en lien avec les villes durables </t>
  </si>
  <si>
    <t xml:space="preserve">Une thématique est choisie </t>
  </si>
  <si>
    <t>Elaboration de la maquette</t>
  </si>
  <si>
    <t>Les UE de formation sont validées</t>
  </si>
  <si>
    <t>CERVIDA-DOUNEDON/DAAS/PARTENAIRES</t>
  </si>
  <si>
    <t>Validation de la maquette</t>
  </si>
  <si>
    <t>Missions des enseignants et vacataires (50)</t>
  </si>
  <si>
    <t>Les missions sont réalisées et le enseignements du Master sont dispensés</t>
  </si>
  <si>
    <t xml:space="preserve">Identifier les besoins de renforcement des enseignants </t>
  </si>
  <si>
    <t>Les besoins en renforcement capacités et formateurs sont identifiés,</t>
  </si>
  <si>
    <t>Renforcer les capacités des enseignants (25) au plan national</t>
  </si>
  <si>
    <t>Les capacités de 25 enseignants sont renforcées au plan national</t>
  </si>
  <si>
    <t>Former au moins 5 enseignants et vacataires à l'extérieur</t>
  </si>
  <si>
    <t xml:space="preserve"> La capacité de 5 enseignants sont renforcées</t>
  </si>
  <si>
    <t>Action 2 c: Sélection et accompagnement des étudiants des masters</t>
  </si>
  <si>
    <t>Lancer l'appel à candidatures (traduction des avis d'appel à candidature)</t>
  </si>
  <si>
    <t>L’appel à candidature est traduit et lancé</t>
  </si>
  <si>
    <t>Réceptionner les candidatures</t>
  </si>
  <si>
    <t>Les candidatures sont reçues</t>
  </si>
  <si>
    <t xml:space="preserve">Mettre en place du jury </t>
  </si>
  <si>
    <t>Le jury de sélection est mis en place</t>
  </si>
  <si>
    <t>Sélectionner les candidats (une retraite est organisée pour la selection)</t>
  </si>
  <si>
    <t>L’étude de dossier est réalisée et les étudiants en Master du CERViDA-DOUNEDON sont sélectionnés</t>
  </si>
  <si>
    <t xml:space="preserve">Publier les résultats de sélection </t>
  </si>
  <si>
    <t>Les résultats sont publiés</t>
  </si>
  <si>
    <t>Elaborer les critères de sélection</t>
  </si>
  <si>
    <t>La liste des critères d’attribution de bourses est élaborée</t>
  </si>
  <si>
    <t>CERVIDA-DOUNEDON, UL</t>
  </si>
  <si>
    <t xml:space="preserve">Les bourses sont octroyées aux 34 étudiants bénéficiaires </t>
  </si>
  <si>
    <t>Suivre les mémoires des étudiants en master</t>
  </si>
  <si>
    <t>Les mémoires des étuduants sont suivis</t>
  </si>
  <si>
    <t>CERViDA-DOUNEDON + UL</t>
  </si>
  <si>
    <t>Constituer la liste des structures d’accueil pour les stages</t>
  </si>
  <si>
    <t>La liste des structures d’accueil pour les stages est disponible</t>
  </si>
  <si>
    <t xml:space="preserve"> -</t>
  </si>
  <si>
    <t>Signer des accords de partenariat avec les structures d’accueil</t>
  </si>
  <si>
    <t>Les accords de partenariat avec les structures d’accueil sont signés</t>
  </si>
  <si>
    <t>38 étudiants ont effectué les stages d'immersion</t>
  </si>
  <si>
    <t>Action 2 d : Mise en place d’un système d’évaluation des formations</t>
  </si>
  <si>
    <t>Réaliser les enquêtes de satisfaction des étudiants sur les activités du CERViDA-DOUNEDON et d'insersion professionnelle par le comité d'évaluation de l'Université de Lomé</t>
  </si>
  <si>
    <t xml:space="preserve">Le rapport des enquêtes des étudiants sur les activités du CERViDA-DOUNEDON et d'insersion professionnelle </t>
  </si>
  <si>
    <t xml:space="preserve">Action 2e: Équipement de la salle multimédia en matériels informatiques et logiciels de gestion urbaine  </t>
  </si>
  <si>
    <t>Acquérir les équipements de la salle multimédia en matériels informatiques</t>
  </si>
  <si>
    <t>Les équipements de la salle multimédia en matériels informatiques</t>
  </si>
  <si>
    <t>CERViDA-DOUNEDON + Partenaires</t>
  </si>
  <si>
    <t>S'abonner aux ressources numériques, base de données</t>
  </si>
  <si>
    <t>Les ressources numériques (revues, etc.), les bases de données, les ouvrages, etc. en lien avec la thématique du CERViDA-DOUNEDON sont disponibles</t>
  </si>
  <si>
    <t>Identifier les formateurs</t>
  </si>
  <si>
    <t>Former les enseignants pour l'appropriation des méthodes d'enseignement à distance</t>
  </si>
  <si>
    <t>Les enseignants sont formés pour l'appropriation des méthodes d'enseignement à distance</t>
  </si>
  <si>
    <t>Action 2 f: Amélioration de la formation doctorale</t>
  </si>
  <si>
    <t>Publier l'appel à candidature (Traduction des avis en anglais)</t>
  </si>
  <si>
    <t>Les publications sont émises</t>
  </si>
  <si>
    <t xml:space="preserve">Sélectionner les candidats (Retraite pour la selection présidé par un membre du conseil scientifique international) </t>
  </si>
  <si>
    <t>Les candidats sont sélectionnés</t>
  </si>
  <si>
    <t>Octroyer des bourses (Allocation, logement, voyage, Inscription (27),  Assurance maladie (59)) aux doctorants</t>
  </si>
  <si>
    <t>Les bourses sont octroyées aux doctorants</t>
  </si>
  <si>
    <t>Suivre les points de thèses</t>
  </si>
  <si>
    <t>Les thèses sont suivis</t>
  </si>
  <si>
    <t>Inscrire les doctorants au cours d'anglais</t>
  </si>
  <si>
    <t>Les doctorants sont inscrits au cours d'anglais</t>
  </si>
  <si>
    <t>Action 2.g: Mise en place des formations continues / courte durée</t>
  </si>
  <si>
    <t>Diffuser les offres de formation continue / courte durée</t>
  </si>
  <si>
    <t>Les offres de formations sont diffusées</t>
  </si>
  <si>
    <t>Dérouler une formation continue</t>
  </si>
  <si>
    <t>1 formation continue est déroulée (Formation de 100 personnes)</t>
  </si>
  <si>
    <t>AXE 3: EXCELLENCE DANS LA RECHERCHE DLI5</t>
  </si>
  <si>
    <t>Action 3a: Préparation de la recherche</t>
  </si>
  <si>
    <t>Identifier les besoins</t>
  </si>
  <si>
    <t>Les structures de recherche de CERViDA-DOUNEDON sont renforcés</t>
  </si>
  <si>
    <t>Dérouler le marché d'acquisition des équipements</t>
  </si>
  <si>
    <t>Réceptionner les équipements de recherche et d'application du CERViDA-DOUNEDON</t>
  </si>
  <si>
    <t>Les structures de recherche des partenaires du CERViDA-DOUNEDON sont renforcés</t>
  </si>
  <si>
    <t>Acquérir les équipements de recherche aux partenaires</t>
  </si>
  <si>
    <t>Réceptionner les équipements de recherche aux partenaires du CERViDA-DOUNEDON</t>
  </si>
  <si>
    <t>Identifier les thèmes de recherches</t>
  </si>
  <si>
    <t>Les projets de recherches sont sélectionnés</t>
  </si>
  <si>
    <t>Chosir les thèmes porteurs</t>
  </si>
  <si>
    <t>Lancer les appels à projets</t>
  </si>
  <si>
    <t>Constituer le jury international de sélection</t>
  </si>
  <si>
    <t>Sélectionner les projets (Atelier) avec les membres de Conseil Scientique International (CSI)</t>
  </si>
  <si>
    <t>Action 3b: Animation et mise en œuvre de la recherche</t>
  </si>
  <si>
    <t xml:space="preserve">Mettre en œuvre les projets retenus (10), (Avance de 50% de demarrage) </t>
  </si>
  <si>
    <t xml:space="preserve">Les projets retenus (10) sont mis en oeuvre </t>
  </si>
  <si>
    <t>Solder les financements des projet de recherches de 2022</t>
  </si>
  <si>
    <t>Les financements des projets de recherche de l'année 2022 sont soldés</t>
  </si>
  <si>
    <t>Atelier de validation des résultats des projets sélectionnés avec l'implication du CSI</t>
  </si>
  <si>
    <t>Les rapports de l'atelier de validation sont disponibles</t>
  </si>
  <si>
    <t>Renforcer les capacités en montage de projets nationaux et internationaux</t>
  </si>
  <si>
    <t>Les capacités pour le montage des projets sont renforcés</t>
  </si>
  <si>
    <t>Identifier les appels à projets nationaux et internationaux</t>
  </si>
  <si>
    <t>Les appels à projets sont identifiés</t>
  </si>
  <si>
    <t>Elaborer les dossiers de candidature</t>
  </si>
  <si>
    <t>Les dossiers de soumission élaborés</t>
  </si>
  <si>
    <t>Participer aux appels à candidature</t>
  </si>
  <si>
    <t>Les candidatures sont soumis</t>
  </si>
  <si>
    <t xml:space="preserve">Pré-évaluer 30 manuscrits </t>
  </si>
  <si>
    <t>30 manuscrits sont pré-évalués</t>
  </si>
  <si>
    <t>Traduire 30 manuscrits</t>
  </si>
  <si>
    <t xml:space="preserve">30 manuscrits sont traduits </t>
  </si>
  <si>
    <t>Publier 30 manuscrits (organiser un atelier de redaction des manuscrits)</t>
  </si>
  <si>
    <t xml:space="preserve">30 manuscrits sont publiés </t>
  </si>
  <si>
    <t>Action 3c: Soutien à la recherche doctorale</t>
  </si>
  <si>
    <t>Atelier de renforcement des aptitudes à la recherche et orientation méthodologique (4 cours de méthodologies pour 22 doctorants)</t>
  </si>
  <si>
    <t>Les aptitudes des doctorants sont renforcées dans la recherche et l’orientation méthodologique</t>
  </si>
  <si>
    <t>Acquérir 21 ordinateurs aux doctorants de la promotion 2022-2023 du CERViDA-DOUNEDON</t>
  </si>
  <si>
    <t xml:space="preserve">21 ordinateurs sont acquis pour les doctorants de la promotion 2022-2023 </t>
  </si>
  <si>
    <t>25 stages sont soutenus</t>
  </si>
  <si>
    <t>Soutien aux étudiants dans les recherches sur le terrain</t>
  </si>
  <si>
    <t>19 doctorants ont soutenu</t>
  </si>
  <si>
    <t>Soutenance de 19 doctorants</t>
  </si>
  <si>
    <t>AXE 4: IMPACT DE DEVELOPPEMENT DLI2-DLI4</t>
  </si>
  <si>
    <t xml:space="preserve">Action 4a: Valorisation des activités de recherche et entreprenariat </t>
  </si>
  <si>
    <t>Appuyer  l'élaboration du scénario d'utilisation</t>
  </si>
  <si>
    <t>Les données existantes sur les villes sont inventoriées et analysées ;
La synthèse de l’utilisation des données existantes est réalisée ; 
Le scénario pour la constitution d’un observatoire de gestion urbaine est élaboré
L’observatoire de gestion urbaine est créée.</t>
  </si>
  <si>
    <t>Appuyer à la création de l'observatoire de gestion urbain</t>
  </si>
  <si>
    <t>Activité de veille sur la gestion urbaine</t>
  </si>
  <si>
    <t>Dérouler les journées, conférences, forum</t>
  </si>
  <si>
    <t>Les journées, conférences et forum sont déroulés</t>
  </si>
  <si>
    <t>La semaine de la communauté (CoSAV villes durables) est organisée</t>
  </si>
  <si>
    <t>Organiser des stages d'impregnation de 4 enseignants au Ghana</t>
  </si>
  <si>
    <t>Les stages sont réalisés</t>
  </si>
  <si>
    <t>Inscrire le personnel du Centre au cours d'anglais</t>
  </si>
  <si>
    <t>Le personnel du Centre est inscrit au cours d'anglais</t>
  </si>
  <si>
    <t>Action 4b:Valorisation des activités de recherche et internationalisation</t>
  </si>
  <si>
    <t>Participation d'au moins 5 enseignants chercheurs et 20 doctorants dont les résumés sont acceptés aux manifestations scientifiques</t>
  </si>
  <si>
    <t>les enseignants chercheurs (5) et doctorants (20) dont les résumés sont acceptés ont participé aux manifestations scientifiques</t>
  </si>
  <si>
    <t>Identification des resultats de projets satisfaisants</t>
  </si>
  <si>
    <t>Les résultats satisfaisants des projets de recherches sont disséminés, diffusés et communiqués à travers les réseaux sociaux</t>
  </si>
  <si>
    <t>Direction CERViDA-DOUNEDON + Partenaires</t>
  </si>
  <si>
    <t>Identification du public cible</t>
  </si>
  <si>
    <t>Dissémination, diffusion et communication des résultats des projets satisfaisants à travers les réseaux sociaux</t>
  </si>
  <si>
    <t>Choix du support</t>
  </si>
  <si>
    <t>Le fonctionnement de la revue scientifiques internationale sur les villes durables est assuré</t>
  </si>
  <si>
    <t>Lancement de l'appel à contribution</t>
  </si>
  <si>
    <t>Soumissions des articles</t>
  </si>
  <si>
    <t xml:space="preserve">Sélection des soumissions </t>
  </si>
  <si>
    <t xml:space="preserve">Publication </t>
  </si>
  <si>
    <t>AXE : 5  INFRASTRUCTURES PEDAGOGIQUES ET DE RECHERCHES DLI4</t>
  </si>
  <si>
    <t xml:space="preserve">Action 5a: Renforcement des infrastructures du CERViDA-DOUNEDON </t>
  </si>
  <si>
    <t>Exécuter les travaux</t>
  </si>
  <si>
    <t xml:space="preserve">Les travaux ont démarré et le suivi-contrôle est réalisé </t>
  </si>
  <si>
    <t xml:space="preserve">Suivre et contrôler les travaux </t>
  </si>
  <si>
    <t>Equipement du centre construit</t>
  </si>
  <si>
    <t>Le Centre est équipé</t>
  </si>
  <si>
    <t>ACTIVITES A METTRE EN ŒUVRE PAR LE CENTRE DANS LE CADRE DE IDL 7</t>
  </si>
  <si>
    <t>Directeur de la planification et de la prospective</t>
  </si>
  <si>
    <t xml:space="preserve">RLD 7.4 : PARTICIPATION A L'INITIATIVE D’ANALYSE COMPARATIVE DU PASET </t>
  </si>
  <si>
    <t xml:space="preserve">M. AGOSSOU </t>
  </si>
  <si>
    <t>Premier cycle universitaire</t>
  </si>
  <si>
    <t>Réaliser un état des lieux de la préparation de l'institution à la collecte de données d'analyse comparative par une enquête de lancement du projet ;</t>
  </si>
  <si>
    <t>L'état des lieux de la préparation de l'institution à la collecte de données d'analyse comparative par une enquête de lancement du projet  est réalisé;</t>
  </si>
  <si>
    <t>Élaborer un plan d'intervention au niveau de l'institution pour développer ses capacités en matière de collecte et de gestion des données et pour rendre compte à l'avenir de tous les indicateurs d'analyse comparative.</t>
  </si>
  <si>
    <t>Le plan d'intervention au niveau de l'institution pour développer ses capacités en matière de collecte et de gestion des données et pour rendre compte à l'avenir de tous les indicateurs d'analyse comparative est élaboré.</t>
  </si>
  <si>
    <t>Analyser les besoins de l'institution en matière de système d'information ;</t>
  </si>
  <si>
    <t>Les besoins de l'institution en matière de système d'information sont analysés</t>
  </si>
  <si>
    <t>Créer l'Observatoire de la vie universitaire (EDD) et l'alimenter avec les différentes bases de données opérationnelles ;</t>
  </si>
  <si>
    <t>L'Observatoire de la vie universitaire (EDD) est crée et est alimenté avec les différentes bases de données opérationnelles</t>
  </si>
  <si>
    <t>Désigner des représentants et les former au benchmarking pour améliorer les systèmes institutionnels de collecte et de gestion des données ;</t>
  </si>
  <si>
    <t>Réaliser une enquête de suivi de la mise en œuvre du projet de création de l'observatoire.</t>
  </si>
  <si>
    <t>L'enquête du suivi de la mise en œuvre du projet de création de l'observatoire est réalisée</t>
  </si>
  <si>
    <t>Deuxième cycle</t>
  </si>
  <si>
    <t>Préparer l'initiative de calibration du PASET</t>
  </si>
  <si>
    <t>L'initiative de calibration du PASET est préparé</t>
  </si>
  <si>
    <t>Participer à l'initiative de calibration du PASET</t>
  </si>
  <si>
    <t>L'initiative de calibration du PASET est réalisé</t>
  </si>
  <si>
    <t xml:space="preserve">Développer un plan d'intervention pour renforcer sa capacité à rapporter les indicateurs d’analyse comparative.  </t>
  </si>
  <si>
    <t xml:space="preserve">Le plan d'intervention pour renforcer sa capacité à rapporter les indicateurs d’analyse comparative est développé  </t>
  </si>
  <si>
    <t xml:space="preserve">IDL 7.5: : Étape d'impact institutionnel </t>
  </si>
  <si>
    <t xml:space="preserve">RLD 7.5.  Projet 4 : Renforcement de la stratégie de mobilisation des ressources </t>
  </si>
  <si>
    <t xml:space="preserve">Etape 12 : Création d'une Association d'anciens étudiants </t>
  </si>
  <si>
    <t xml:space="preserve">Renforcer les liens de solidarité entre les anciens de l'UL en favorisant la création d'associations et d'un annuaire. </t>
  </si>
  <si>
    <t xml:space="preserve">Les liens de solidarité entre les anciens de l'UL est renforcé en favorisant la création d'associations et d'un annuaire. </t>
  </si>
  <si>
    <t xml:space="preserve">Promouvoir l'image de l'UL </t>
  </si>
  <si>
    <t>L'image de l'UL  est promu</t>
  </si>
  <si>
    <t>Mobiliser les anciens dans nos activités de formation et de recherche.</t>
  </si>
  <si>
    <t>Les anciens sont mobilisés dans nos activités de formation et de recherche.</t>
  </si>
  <si>
    <t xml:space="preserve">Organiser des événements, conférences, ateliers, rencontres, visites, etc. </t>
  </si>
  <si>
    <t xml:space="preserve">Des événements, conférences, ateliers, rencontres, visites, sont organisés  </t>
  </si>
  <si>
    <t>Aider l'UL à se positionner et à mettre en place une stratégie future.</t>
  </si>
  <si>
    <t>L'UL est aidé dans son positionnement en mettant en place une stratégie future</t>
  </si>
  <si>
    <t xml:space="preserve">Créer une plateforme de discussion. </t>
  </si>
  <si>
    <t>La plateforme de discussion est créée</t>
  </si>
  <si>
    <t>Etape 13 : Incubateur UL (U-Lab)</t>
  </si>
  <si>
    <t>Doter l'incubateur d'infrastructures équipées : construction de 4 bureaux et d'un espace de travail collaboratif modulable</t>
  </si>
  <si>
    <t>L'incubateur d'infrastructures équipées est doté de : construction de 4 bureaux et d'un espace de travail collaboratif modulable</t>
  </si>
  <si>
    <t>Former deux personnes à l'école des Mines ALBI CARMAUX en France</t>
  </si>
  <si>
    <t>Deux personnes sont formées à l'école des Mines ALBI CARMAUX en France</t>
  </si>
  <si>
    <t xml:space="preserve">Former l'équipe dirigeante avant la mise en service de l'incubateur </t>
  </si>
  <si>
    <t xml:space="preserve">L'équipe dirigeante est formé avant la mise en service de l'incubateur </t>
  </si>
  <si>
    <t>Élaborer le programme d'accompagnement de l'incubé</t>
  </si>
  <si>
    <t>Le programme d'accompagnement de l'incubé est élaboré</t>
  </si>
  <si>
    <t>Développer le processus de recrutement des jeunes entreprises innovantes.</t>
  </si>
  <si>
    <t>Le processus de recrutement des jeunes entreprises innovantes est développé</t>
  </si>
  <si>
    <t>Faire fonctionner quotidiennement le centre et assistance d'autres experts.</t>
  </si>
  <si>
    <t>Le centre est opérationnel</t>
  </si>
  <si>
    <t>Former et sensibiliser les enseignants-chercheurs et les jeunes universitaires à la nécessité d'un incubateur.</t>
  </si>
  <si>
    <t>Les enseignants-chercheurs et les jeunes universitaires sont formés et sensibilisés à la nécessité d'un incubateur.</t>
  </si>
  <si>
    <t xml:space="preserve">Etape 14 : Renforcement de la valorisation de la recherche (y compris la production scientifique, etc.) </t>
  </si>
  <si>
    <t xml:space="preserve">Mettre en place une cellule d'appui à la valorisation des résultats de la recherche. </t>
  </si>
  <si>
    <t>Une cellule d'appui à la valorisation des résultats de la recherche est mise en place</t>
  </si>
  <si>
    <t>Renforcer les capacités de logistique numérique (achat de 20 ordinateurs et de 20 logiciels anti-plagiat).</t>
  </si>
  <si>
    <t>Les capacités de logistique numérique sont renformées (achat de 20 ordinateurs et de 20 logiciels anti-plagiat)</t>
  </si>
  <si>
    <t>Organiser et soutenir les revues pour améliorer leurs performances.</t>
  </si>
  <si>
    <t>Les revues sont organisées et soutenues pour améliorer leurs performances</t>
  </si>
  <si>
    <t xml:space="preserve">Créer une base de données pour mieux gérer la production scientifique </t>
  </si>
  <si>
    <t xml:space="preserve">Une base de données pour mieux gérer la production scientifique est disponible </t>
  </si>
  <si>
    <t>Soutenir la participation des revues universitaires aux plateformes régionales et internationales de publications scientifiques.</t>
  </si>
  <si>
    <t>La participation des revues universitaires aux plateformes régionales et internationales de publications scientifiques est soutenue</t>
  </si>
  <si>
    <t xml:space="preserve">RLD 7.5.  Projet 5 : Marketing et communication institutionnelle </t>
  </si>
  <si>
    <t xml:space="preserve">Etape 15 : Renforcement des capacités des acteurs de l'UL et missions d'imprégnation sur les enjeux du marketing et de la communication institutionnelle (interne et externe) </t>
  </si>
  <si>
    <t>Organiser un atelier de formation de l'équipe de direction de la communication sur les enjeux, les axes prioritaires et les stratégies de la communication institutionnelle universitaire, de la communication numérique et de l'animation des réseaux sociaux ;</t>
  </si>
  <si>
    <t>Un atelier de formation de l'équipe de direction de la communication est organisé sur les enjeux, les axes prioritaires et les stratégies de la communication institutionnelle universitaire, de la communication numérique et de l'animation des réseaux sociaux</t>
  </si>
  <si>
    <t>Organiser un atelier de formation des personnels de l'UL sur les implications de la communication institutionnelle universitaire (personnels de la présidence, doyens/directeurs, enseignants-chercheurs, CSA et secrétaires principaux) ;</t>
  </si>
  <si>
    <t>Un atelier de formation des personnels de l'UL est organisé sur les implications de la communication institutionnelle universitaire (personnels de la présidence, doyens/directeurs, enseignants-chercheurs, CSA et secrétaires principaux)</t>
  </si>
  <si>
    <t xml:space="preserve">Réaliser des voyages d'imprégnation dans les universités partenaires pour le partage et la capitalisation des expériences en matière de communication institutionnelle. </t>
  </si>
  <si>
    <t>Des voyages d'imprégnation dans les universités partenaires sont organisés pour le partage et la capitalisation des expériences en matière de communication institutionnelle</t>
  </si>
  <si>
    <t>Equiper le service de la communication et du protocole en matériel de reportage et matériel informatique (appareils photo, caméras, enregistreurs, ordinateurs, imprimantes).</t>
  </si>
  <si>
    <t>Le service de la communication et du protocole sont équipés en matériel de reportage et matériel informatique (appareils photo, caméras, enregistreurs, ordinateurs, imprimantes)</t>
  </si>
  <si>
    <t xml:space="preserve">Etape 16 : Amélioration de la visibilité de l’Université de Lomé </t>
  </si>
  <si>
    <t>Revitaliser le site internet de l’université de Lomé</t>
  </si>
  <si>
    <t>Le site internet de l’université de Lomé est revitalisé</t>
  </si>
  <si>
    <t>Créer et animer la page spéciale sur le site de l’UL dédiée aux anciens élèves et étudiants de la sous-région ;</t>
  </si>
  <si>
    <t>Créer et animer la page spéciale sur le site de l’UL dédiée aux anciens élèves et étudiants de la sous-région est créée et animé</t>
  </si>
  <si>
    <t>Opérations de charme de l’image de l’Université de Lomé sur les réseaux sociaux (montage de vidéos pour les étudiants et la communauté) ;</t>
  </si>
  <si>
    <t>Opérations de charme de l’image de l’Université de Lomé sur les réseaux sociaux (montage de vidéos pour les étudiants et la communauté)</t>
  </si>
  <si>
    <t>Emettre des émissions de radio et de télévision sur la formation et la recherche à l’UL,</t>
  </si>
  <si>
    <t>Des émissions de radio et de télévision sont emises sur la formation et la recherche à l’UL</t>
  </si>
  <si>
    <t>Réaliser des voyages de presse, conférences de presse</t>
  </si>
  <si>
    <t>Des voyages de presse et conférences de presse sont réalisées</t>
  </si>
  <si>
    <t>Signer de convention avec trois (3) médias étrangers ;</t>
  </si>
  <si>
    <t>De convention sont signées avec trois (3) médias étrangers</t>
  </si>
  <si>
    <t>Parrainer les publications sur la page facebook.</t>
  </si>
  <si>
    <t>Les publications sur la page facebook sont parrainées</t>
  </si>
  <si>
    <t xml:space="preserve">Etape 17 : Renforcement du partenariat entre l'UL et les acteurs socio-économiques </t>
  </si>
  <si>
    <t>Visiter pour promouvoir l'image de l'UL auprès des chancelleries</t>
  </si>
  <si>
    <t xml:space="preserve">Promouvoir l'image de l'UL auprès des chancelleries à travers les visites </t>
  </si>
  <si>
    <t xml:space="preserve">Organiser des places de marché, tables rondes, déjeuners d'échanges, journées portes ouvertes </t>
  </si>
  <si>
    <t>Les places de marché, tables rondes, déjeuners d'échanges, journées portes ouvertes sont organisés</t>
  </si>
  <si>
    <t>Célébrer les résultats de recherche et des lauréats à travers la Nuit de l'excellence de l'UL)</t>
  </si>
  <si>
    <t>Les résultats de recherche et des lauréats sont célébrés à travers la Nuit de l'excellence de l'UL)</t>
  </si>
  <si>
    <t>TOTAL</t>
  </si>
  <si>
    <t>RECAPITULATIF DU PROGRAMME DE TRAVAIL ET BUDGET ANNUEL  2023-CERViDA-DOUNEDON</t>
  </si>
  <si>
    <t>COMPOSANTES</t>
  </si>
  <si>
    <t>USD</t>
  </si>
  <si>
    <t>F CFA</t>
  </si>
  <si>
    <t>%</t>
  </si>
  <si>
    <t>GOUVERNANCE ET FONCTIONNEMENT</t>
  </si>
  <si>
    <t>EXCELLENCE DANS L'ENSEIGNEMENT ET LA FORMATION</t>
  </si>
  <si>
    <t>EXCELLENCE DANS LA RECHERCHE</t>
  </si>
  <si>
    <t>IMPACT DE DEVELOPPEMENT</t>
  </si>
  <si>
    <t>INFRASTRUCTURE PEDAGOGIQUE ET DE RECHERCHE</t>
  </si>
  <si>
    <t>Réaliser au moins dix (10) missions du Centre (à l'intérieur et extérieur du Togo)</t>
  </si>
  <si>
    <t>Au moins dix (10) missions sont réalisées</t>
  </si>
  <si>
    <r>
      <t>Plan de travail annuel</t>
    </r>
    <r>
      <rPr>
        <b/>
        <sz val="9"/>
        <rFont val="Arial Narrow"/>
        <family val="2"/>
      </rPr>
      <t xml:space="preserve"> janvier 2023</t>
    </r>
  </si>
  <si>
    <r>
      <rPr>
        <b/>
        <sz val="9"/>
        <color theme="1"/>
        <rFont val="Arial Narrow"/>
        <family val="2"/>
      </rPr>
      <t>Activité 1 :</t>
    </r>
    <r>
      <rPr>
        <sz val="9"/>
        <color theme="1"/>
        <rFont val="Arial Narrow"/>
        <family val="2"/>
      </rPr>
      <t xml:space="preserve"> Mise en place de l’administration du CERViDA-DOUNEDON</t>
    </r>
  </si>
  <si>
    <r>
      <rPr>
        <b/>
        <sz val="9"/>
        <color theme="1"/>
        <rFont val="Arial Narrow"/>
        <family val="2"/>
      </rPr>
      <t>Activité 2 :</t>
    </r>
    <r>
      <rPr>
        <sz val="9"/>
        <color theme="1"/>
        <rFont val="Arial Narrow"/>
        <family val="2"/>
      </rPr>
      <t xml:space="preserve"> Communication et visibilité du CERViDA-DOUNEDON</t>
    </r>
  </si>
  <si>
    <r>
      <t xml:space="preserve">Mettre à jour </t>
    </r>
    <r>
      <rPr>
        <sz val="9"/>
        <color theme="1"/>
        <rFont val="Times New Roman"/>
        <family val="1"/>
      </rPr>
      <t>régulièrement le site web du CERViDA-DOUNEDON</t>
    </r>
  </si>
  <si>
    <r>
      <rPr>
        <b/>
        <sz val="9"/>
        <color theme="1"/>
        <rFont val="Arial Narrow"/>
        <family val="2"/>
      </rPr>
      <t>Activité  3 :</t>
    </r>
    <r>
      <rPr>
        <sz val="9"/>
        <color theme="1"/>
        <rFont val="Arial Narrow"/>
        <family val="2"/>
      </rPr>
      <t xml:space="preserve"> Installation d'un réseau internet haut débit</t>
    </r>
  </si>
  <si>
    <r>
      <rPr>
        <b/>
        <sz val="9"/>
        <color theme="1"/>
        <rFont val="Arial Narrow"/>
        <family val="2"/>
      </rPr>
      <t>Activité 4 :</t>
    </r>
    <r>
      <rPr>
        <sz val="9"/>
        <color theme="1"/>
        <rFont val="Arial Narrow"/>
        <family val="2"/>
      </rPr>
      <t xml:space="preserve"> Acquérir les équipements pour le fonctionnement du CERViDA-DOUNEDON</t>
    </r>
  </si>
  <si>
    <r>
      <rPr>
        <b/>
        <sz val="9"/>
        <color theme="1"/>
        <rFont val="Arial Narrow"/>
        <family val="2"/>
      </rPr>
      <t>Activité 5 :</t>
    </r>
    <r>
      <rPr>
        <sz val="9"/>
        <color theme="1"/>
        <rFont val="Arial Narrow"/>
        <family val="2"/>
      </rPr>
      <t xml:space="preserve"> Suivi évaluation de la gestion fudiciaires, recherches, formations du centre (audits internes et externes, rapport d’activités, les réunions du comité de pilotage) </t>
    </r>
  </si>
  <si>
    <r>
      <rPr>
        <b/>
        <sz val="9"/>
        <color theme="1"/>
        <rFont val="Arial Narrow"/>
        <family val="2"/>
      </rPr>
      <t>Activité 6 :</t>
    </r>
    <r>
      <rPr>
        <sz val="9"/>
        <color theme="1"/>
        <rFont val="Arial Narrow"/>
        <family val="2"/>
      </rPr>
      <t xml:space="preserve"> Organisation des réunions du comité consultatif  sectoriel (CCS) et d'un comité  scinetifique international (CSI)</t>
    </r>
  </si>
  <si>
    <r>
      <rPr>
        <b/>
        <sz val="9"/>
        <color theme="1"/>
        <rFont val="Arial Narrow"/>
        <family val="2"/>
      </rPr>
      <t>Activité 7 :</t>
    </r>
    <r>
      <rPr>
        <sz val="9"/>
        <color theme="1"/>
        <rFont val="Arial Narrow"/>
        <family val="2"/>
      </rPr>
      <t xml:space="preserve"> Fonctionnement du matériel roulant (entretiens, réparations, carburant assurance véhicule) et autres (électricité, eau, envoie de courriers, petites réparations, etc.)</t>
    </r>
  </si>
  <si>
    <r>
      <rPr>
        <b/>
        <sz val="9"/>
        <color theme="1"/>
        <rFont val="Arial Narrow"/>
        <family val="2"/>
      </rPr>
      <t xml:space="preserve">Activité 1 : </t>
    </r>
    <r>
      <rPr>
        <sz val="9"/>
        <color theme="1"/>
        <rFont val="Arial Narrow"/>
        <family val="2"/>
      </rPr>
      <t>Soutien aux activités pédagogiques de terrain</t>
    </r>
  </si>
  <si>
    <r>
      <rPr>
        <b/>
        <sz val="9"/>
        <color theme="1"/>
        <rFont val="Arial Narrow"/>
        <family val="2"/>
      </rPr>
      <t>Activité 1</t>
    </r>
    <r>
      <rPr>
        <sz val="9"/>
        <color theme="1"/>
        <rFont val="Arial Narrow"/>
        <family val="2"/>
      </rPr>
      <t xml:space="preserve"> : Choix de la thématique du Master professionnel du CERViDA-DOUNEDON/EPL   </t>
    </r>
  </si>
  <si>
    <r>
      <rPr>
        <b/>
        <sz val="9"/>
        <color theme="1"/>
        <rFont val="Arial Narrow"/>
        <family val="2"/>
      </rPr>
      <t>Activité 2</t>
    </r>
    <r>
      <rPr>
        <sz val="9"/>
        <color theme="1"/>
        <rFont val="Arial Narrow"/>
        <family val="2"/>
      </rPr>
      <t xml:space="preserve"> : Choix de la maquette du Master professionnel du CERViDA-DOUNEDON/EPL</t>
    </r>
  </si>
  <si>
    <r>
      <rPr>
        <b/>
        <sz val="9"/>
        <color theme="1"/>
        <rFont val="Arial Narrow"/>
        <family val="2"/>
      </rPr>
      <t>Activité 3</t>
    </r>
    <r>
      <rPr>
        <sz val="9"/>
        <color theme="1"/>
        <rFont val="Arial Narrow"/>
        <family val="2"/>
      </rPr>
      <t xml:space="preserve"> : Missions des enseignants des Masters du CERViDA-DOUNEDON</t>
    </r>
  </si>
  <si>
    <r>
      <rPr>
        <b/>
        <sz val="9"/>
        <color theme="1"/>
        <rFont val="Arial Narrow"/>
        <family val="2"/>
      </rPr>
      <t>Activité 4 :</t>
    </r>
    <r>
      <rPr>
        <sz val="9"/>
        <color theme="1"/>
        <rFont val="Arial Narrow"/>
        <family val="2"/>
      </rPr>
      <t xml:space="preserve"> Renforcement de capacités des enseignants permanents et vacataires</t>
    </r>
  </si>
  <si>
    <r>
      <rPr>
        <b/>
        <sz val="9"/>
        <color theme="1"/>
        <rFont val="Arial Narrow"/>
        <family val="2"/>
      </rPr>
      <t>Activité 1 :</t>
    </r>
    <r>
      <rPr>
        <sz val="9"/>
        <color theme="1"/>
        <rFont val="Arial Narrow"/>
        <family val="2"/>
      </rPr>
      <t xml:space="preserve"> Sélection des étudiants (90 )</t>
    </r>
  </si>
  <si>
    <r>
      <rPr>
        <b/>
        <sz val="9"/>
        <color theme="1"/>
        <rFont val="Arial Narrow"/>
        <family val="2"/>
      </rPr>
      <t>Activité 2 :</t>
    </r>
    <r>
      <rPr>
        <sz val="9"/>
        <color theme="1"/>
        <rFont val="Arial Narrow"/>
        <family val="2"/>
      </rPr>
      <t xml:space="preserve"> Octroi de bourses aux étudiants bénéficiaires</t>
    </r>
  </si>
  <si>
    <r>
      <t xml:space="preserve">Attribuer </t>
    </r>
    <r>
      <rPr>
        <sz val="9"/>
        <color rgb="FFFF0000"/>
        <rFont val="Arial Narrow"/>
        <family val="2"/>
      </rPr>
      <t>34</t>
    </r>
    <r>
      <rPr>
        <sz val="9"/>
        <color theme="1"/>
        <rFont val="Arial Narrow"/>
        <family val="2"/>
      </rPr>
      <t xml:space="preserve">  bourses du CERViDA-DOUNEDON (allocation, logement , Inscription, voyage et assurance maladie)</t>
    </r>
  </si>
  <si>
    <r>
      <rPr>
        <b/>
        <sz val="9"/>
        <color theme="1"/>
        <rFont val="Arial Narrow"/>
        <family val="2"/>
      </rPr>
      <t>Activité 3 :</t>
    </r>
    <r>
      <rPr>
        <sz val="9"/>
        <color theme="1"/>
        <rFont val="Arial Narrow"/>
        <family val="2"/>
      </rPr>
      <t xml:space="preserve"> Suivi pédagogique des étudiants boursiers et non boursiers</t>
    </r>
  </si>
  <si>
    <r>
      <rPr>
        <b/>
        <sz val="9"/>
        <color theme="1"/>
        <rFont val="Arial Narrow"/>
        <family val="2"/>
      </rPr>
      <t>Activité 4 :</t>
    </r>
    <r>
      <rPr>
        <sz val="9"/>
        <color theme="1"/>
        <rFont val="Arial Narrow"/>
        <family val="2"/>
      </rPr>
      <t xml:space="preserve">  Stages d’immersion aux étudiants sélectionnés</t>
    </r>
  </si>
  <si>
    <r>
      <t xml:space="preserve">Dérouler </t>
    </r>
    <r>
      <rPr>
        <sz val="9"/>
        <rFont val="Arial Narrow"/>
        <family val="2"/>
      </rPr>
      <t>38</t>
    </r>
    <r>
      <rPr>
        <sz val="9"/>
        <color theme="1"/>
        <rFont val="Arial Narrow"/>
        <family val="2"/>
      </rPr>
      <t xml:space="preserve"> stages d'immersion</t>
    </r>
  </si>
  <si>
    <r>
      <rPr>
        <b/>
        <sz val="9"/>
        <color theme="1"/>
        <rFont val="Arial Narrow"/>
        <family val="2"/>
      </rPr>
      <t>Activité 1</t>
    </r>
    <r>
      <rPr>
        <sz val="9"/>
        <color theme="1"/>
        <rFont val="Arial Narrow"/>
        <family val="2"/>
      </rPr>
      <t xml:space="preserve"> : Auto évaluation des formations du CERViDA-DOUNEDON</t>
    </r>
  </si>
  <si>
    <r>
      <rPr>
        <b/>
        <sz val="9"/>
        <color theme="1"/>
        <rFont val="Arial Narrow"/>
        <family val="2"/>
      </rPr>
      <t>Activité 1:</t>
    </r>
    <r>
      <rPr>
        <sz val="9"/>
        <color theme="1"/>
        <rFont val="Arial Narrow"/>
        <family val="2"/>
      </rPr>
      <t xml:space="preserve"> Équipement de la salle multimédia en matériels informatiques et logiciels de gestion urbaine</t>
    </r>
  </si>
  <si>
    <r>
      <rPr>
        <b/>
        <sz val="9"/>
        <color theme="1"/>
        <rFont val="Arial Narrow"/>
        <family val="2"/>
      </rPr>
      <t>Activité 2 :</t>
    </r>
    <r>
      <rPr>
        <sz val="9"/>
        <color theme="1"/>
        <rFont val="Arial Narrow"/>
        <family val="2"/>
      </rPr>
      <t xml:space="preserve"> Abonnements aux ressources numériques, bases de données, ouvrages, etc.</t>
    </r>
  </si>
  <si>
    <r>
      <rPr>
        <b/>
        <sz val="9"/>
        <color theme="1"/>
        <rFont val="Arial Narrow"/>
        <family val="2"/>
      </rPr>
      <t>Activité 3:</t>
    </r>
    <r>
      <rPr>
        <sz val="9"/>
        <color theme="1"/>
        <rFont val="Arial Narrow"/>
        <family val="2"/>
      </rPr>
      <t xml:space="preserve"> Formation des enseignants pour l'appropriation des méthodes de pédagogie numérique</t>
    </r>
  </si>
  <si>
    <r>
      <rPr>
        <b/>
        <sz val="9"/>
        <color theme="1"/>
        <rFont val="Arial Narrow"/>
        <family val="2"/>
      </rPr>
      <t>Activité 1 :</t>
    </r>
    <r>
      <rPr>
        <sz val="9"/>
        <color theme="1"/>
        <rFont val="Arial Narrow"/>
        <family val="2"/>
      </rPr>
      <t xml:space="preserve"> Recrutement des doctorants (20)</t>
    </r>
  </si>
  <si>
    <r>
      <rPr>
        <b/>
        <sz val="9"/>
        <color theme="1"/>
        <rFont val="Arial Narrow"/>
        <family val="2"/>
      </rPr>
      <t>Activité 2 :</t>
    </r>
    <r>
      <rPr>
        <sz val="9"/>
        <color theme="1"/>
        <rFont val="Arial Narrow"/>
        <family val="2"/>
      </rPr>
      <t xml:space="preserve"> Financement des bourses de doctorat </t>
    </r>
  </si>
  <si>
    <r>
      <rPr>
        <b/>
        <sz val="9"/>
        <color theme="1"/>
        <rFont val="Arial Narrow"/>
        <family val="2"/>
      </rPr>
      <t>Activité 3:</t>
    </r>
    <r>
      <rPr>
        <sz val="9"/>
        <color theme="1"/>
        <rFont val="Arial Narrow"/>
        <family val="2"/>
      </rPr>
      <t xml:space="preserve"> Suivi pédagogique des doctorants</t>
    </r>
  </si>
  <si>
    <r>
      <rPr>
        <b/>
        <sz val="9"/>
        <color theme="1"/>
        <rFont val="Arial Narrow"/>
        <family val="2"/>
      </rPr>
      <t>Activité 1 :</t>
    </r>
    <r>
      <rPr>
        <sz val="9"/>
        <color theme="1"/>
        <rFont val="Arial Narrow"/>
        <family val="2"/>
      </rPr>
      <t xml:space="preserve"> Identification, sélection des thèmes de formation et organisation des formations continues/courtes durées</t>
    </r>
  </si>
  <si>
    <r>
      <rPr>
        <b/>
        <sz val="9"/>
        <color theme="1"/>
        <rFont val="Arial Narrow"/>
        <family val="2"/>
      </rPr>
      <t>Activité 1 :</t>
    </r>
    <r>
      <rPr>
        <sz val="9"/>
        <color theme="1"/>
        <rFont val="Arial Narrow"/>
        <family val="2"/>
      </rPr>
      <t xml:space="preserve"> Renforcement des structures de recherche du CERViDA-DOUNEDON</t>
    </r>
  </si>
  <si>
    <r>
      <rPr>
        <b/>
        <sz val="9"/>
        <color theme="1"/>
        <rFont val="Arial Narrow"/>
        <family val="2"/>
      </rPr>
      <t>Activité 2 :</t>
    </r>
    <r>
      <rPr>
        <sz val="9"/>
        <color theme="1"/>
        <rFont val="Arial Narrow"/>
        <family val="2"/>
      </rPr>
      <t xml:space="preserve"> Renforcement des structures de recherche des partenaires</t>
    </r>
  </si>
  <si>
    <r>
      <rPr>
        <b/>
        <sz val="9"/>
        <color theme="1"/>
        <rFont val="Arial Narrow"/>
        <family val="2"/>
      </rPr>
      <t>Activité 3 :</t>
    </r>
    <r>
      <rPr>
        <sz val="9"/>
        <color theme="1"/>
        <rFont val="Arial Narrow"/>
        <family val="2"/>
      </rPr>
      <t xml:space="preserve"> Lancement des appels à projets de recherches</t>
    </r>
  </si>
  <si>
    <r>
      <rPr>
        <b/>
        <sz val="9"/>
        <color theme="1"/>
        <rFont val="Arial Narrow"/>
        <family val="2"/>
      </rPr>
      <t>Activité 1 :</t>
    </r>
    <r>
      <rPr>
        <sz val="9"/>
        <color theme="1"/>
        <rFont val="Arial Narrow"/>
        <family val="2"/>
      </rPr>
      <t xml:space="preserve"> Soutien aux équipes de recherches sélectionnées</t>
    </r>
  </si>
  <si>
    <r>
      <rPr>
        <b/>
        <sz val="9"/>
        <color theme="1"/>
        <rFont val="Arial Narrow"/>
        <family val="2"/>
      </rPr>
      <t>Activité 2 :</t>
    </r>
    <r>
      <rPr>
        <sz val="9"/>
        <color theme="1"/>
        <rFont val="Arial Narrow"/>
        <family val="2"/>
      </rPr>
      <t xml:space="preserve"> Participation du CERViDA-DOUNEDON aux appels à projets (acquisition de compétences pour répondre à des appels et pour répondre à des appels et pour le montage des dossiers </t>
    </r>
  </si>
  <si>
    <r>
      <rPr>
        <b/>
        <sz val="9"/>
        <color theme="1"/>
        <rFont val="Arial Narrow"/>
        <family val="2"/>
      </rPr>
      <t>Activité 3 :</t>
    </r>
    <r>
      <rPr>
        <sz val="9"/>
        <color theme="1"/>
        <rFont val="Arial Narrow"/>
        <family val="2"/>
      </rPr>
      <t xml:space="preserve"> Production des publications scientifiques</t>
    </r>
  </si>
  <si>
    <r>
      <rPr>
        <b/>
        <sz val="9"/>
        <color theme="1"/>
        <rFont val="Arial Narrow"/>
        <family val="2"/>
      </rPr>
      <t>Activité 1 :</t>
    </r>
    <r>
      <rPr>
        <sz val="9"/>
        <color theme="1"/>
        <rFont val="Arial Narrow"/>
        <family val="2"/>
      </rPr>
      <t xml:space="preserve"> Renforcement des aptitudes à la recherche et orientation méthodologique</t>
    </r>
  </si>
  <si>
    <r>
      <rPr>
        <b/>
        <sz val="9"/>
        <color theme="1"/>
        <rFont val="Arial Narrow"/>
        <family val="2"/>
      </rPr>
      <t>Activité 2 :</t>
    </r>
    <r>
      <rPr>
        <sz val="9"/>
        <color theme="1"/>
        <rFont val="Arial Narrow"/>
        <family val="2"/>
      </rPr>
      <t xml:space="preserve"> Equipement spécifiques des doctorants (21 ordinateurs)</t>
    </r>
  </si>
  <si>
    <r>
      <rPr>
        <b/>
        <sz val="9"/>
        <color theme="1"/>
        <rFont val="Arial Narrow"/>
        <family val="2"/>
      </rPr>
      <t>Activité 3 :</t>
    </r>
    <r>
      <rPr>
        <sz val="9"/>
        <color theme="1"/>
        <rFont val="Arial Narrow"/>
        <family val="2"/>
      </rPr>
      <t xml:space="preserve"> Soutien aux stages en entreprise</t>
    </r>
  </si>
  <si>
    <r>
      <t xml:space="preserve">Soutenir les stages en entreprise pour </t>
    </r>
    <r>
      <rPr>
        <sz val="9"/>
        <rFont val="Arial Narrow"/>
        <family val="2"/>
      </rPr>
      <t>25</t>
    </r>
    <r>
      <rPr>
        <sz val="9"/>
        <color theme="1"/>
        <rFont val="Arial Narrow"/>
        <family val="2"/>
      </rPr>
      <t xml:space="preserve"> étudiants doctorants</t>
    </r>
  </si>
  <si>
    <r>
      <rPr>
        <b/>
        <sz val="9"/>
        <color theme="1"/>
        <rFont val="Arial Narrow"/>
        <family val="2"/>
      </rPr>
      <t>Activité 4 :</t>
    </r>
    <r>
      <rPr>
        <sz val="9"/>
        <color theme="1"/>
        <rFont val="Arial Narrow"/>
        <family val="2"/>
      </rPr>
      <t xml:space="preserve"> Soutien aux recherches de terrain</t>
    </r>
  </si>
  <si>
    <r>
      <rPr>
        <b/>
        <sz val="9"/>
        <color theme="1"/>
        <rFont val="Arial Narrow"/>
        <family val="2"/>
      </rPr>
      <t>Activité 1 :</t>
    </r>
    <r>
      <rPr>
        <sz val="9"/>
        <color theme="1"/>
        <rFont val="Arial Narrow"/>
        <family val="2"/>
      </rPr>
      <t xml:space="preserve"> Appui à la création d’un observatoire de gestion urbaine</t>
    </r>
  </si>
  <si>
    <r>
      <rPr>
        <b/>
        <sz val="9"/>
        <color theme="1"/>
        <rFont val="Arial Narrow"/>
        <family val="2"/>
      </rPr>
      <t>Activité 2 :</t>
    </r>
    <r>
      <rPr>
        <sz val="9"/>
        <color theme="1"/>
        <rFont val="Arial Narrow"/>
        <family val="2"/>
      </rPr>
      <t xml:space="preserve"> Organisation des journées entreprises (company days conférences et forum sur les villes durables)</t>
    </r>
  </si>
  <si>
    <r>
      <rPr>
        <b/>
        <sz val="9"/>
        <color theme="1"/>
        <rFont val="Arial Narrow"/>
        <family val="2"/>
      </rPr>
      <t>Activité 3 :</t>
    </r>
    <r>
      <rPr>
        <sz val="9"/>
        <color theme="1"/>
        <rFont val="Arial Narrow"/>
        <family val="2"/>
      </rPr>
      <t xml:space="preserve"> Organisation de la semaine de la communauté de savoirs villes durables dans les suds (CoSAV villes durables)</t>
    </r>
  </si>
  <si>
    <r>
      <rPr>
        <b/>
        <sz val="9"/>
        <color theme="1"/>
        <rFont val="Arial Narrow"/>
        <family val="2"/>
      </rPr>
      <t>Activité 4 :</t>
    </r>
    <r>
      <rPr>
        <sz val="9"/>
        <color theme="1"/>
        <rFont val="Arial Narrow"/>
        <family val="2"/>
      </rPr>
      <t xml:space="preserve"> Soutien aux stages en entreprise pour les enseignants du CERViDA-DOUNEDON y compris l'amélioration de l'anglais</t>
    </r>
  </si>
  <si>
    <r>
      <rPr>
        <b/>
        <sz val="9"/>
        <color theme="1"/>
        <rFont val="Arial Narrow"/>
        <family val="2"/>
      </rPr>
      <t>Activité 1 :</t>
    </r>
    <r>
      <rPr>
        <sz val="9"/>
        <color theme="1"/>
        <rFont val="Arial Narrow"/>
        <family val="2"/>
      </rPr>
      <t xml:space="preserve"> Soutien à la participation aux activités scientifiques internationales des enseignants-chercheurs et des doctorants du CERViDA-DOUNEDON</t>
    </r>
  </si>
  <si>
    <r>
      <t xml:space="preserve">Activité 2 : </t>
    </r>
    <r>
      <rPr>
        <sz val="9"/>
        <color theme="1"/>
        <rFont val="Arial Narrow"/>
        <family val="2"/>
      </rPr>
      <t>Dissémination, diffusion, communication des résultats des projets de recherche</t>
    </r>
  </si>
  <si>
    <r>
      <rPr>
        <b/>
        <sz val="9"/>
        <color theme="1"/>
        <rFont val="Arial Narrow"/>
        <family val="2"/>
      </rPr>
      <t>Activité 3 :</t>
    </r>
    <r>
      <rPr>
        <sz val="9"/>
        <color theme="1"/>
        <rFont val="Arial Narrow"/>
        <family val="2"/>
      </rPr>
      <t xml:space="preserve"> Fonctionnement de la revue scientifique internationale sur les villes durables</t>
    </r>
  </si>
  <si>
    <r>
      <rPr>
        <b/>
        <sz val="9"/>
        <color theme="1"/>
        <rFont val="Arial Narrow"/>
        <family val="2"/>
      </rPr>
      <t>Activité 1 :</t>
    </r>
    <r>
      <rPr>
        <sz val="9"/>
        <color theme="1"/>
        <rFont val="Arial Narrow"/>
        <family val="2"/>
      </rPr>
      <t xml:space="preserve"> Construction et équipement du bâtiment du CERViDA-DOUNEDON</t>
    </r>
  </si>
  <si>
    <r>
      <rPr>
        <sz val="9"/>
        <rFont val="Arial Narrow"/>
        <family val="2"/>
      </rPr>
      <t>Désigner les</t>
    </r>
    <r>
      <rPr>
        <sz val="9"/>
        <color theme="1"/>
        <rFont val="Arial Narrow"/>
        <family val="2"/>
      </rPr>
      <t xml:space="preserve"> représentants et les former au benchmarking pour améliorer les systèmes institutionnels de collecte et de gestion des données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</si>
</sst>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 #,##0_-;_-* &quot;-&quot;_-;_-@_-"/>
    <numFmt numFmtId="165" formatCode="_-* #,##0.00_-;\-* #,##0.00_-;_-* &quot;-&quot;??_-;_-@_-"/>
    <numFmt numFmtId="166" formatCode="_-* #,##0\ _C_F_A_-;\-* #,##0\ _C_F_A_-;_-* &quot;-&quot;\ _C_F_A_-;_-@_-"/>
    <numFmt numFmtId="167" formatCode="_-* #,##0\ _€_-;\-* #,##0\ _€_-;_-* &quot;-&quot;??\ _€_-;_-@_-"/>
    <numFmt numFmtId="168" formatCode="_-* #,##0_-;\-* #,##0_-;_-* &quot;-&quot;??_-;_-@_-"/>
    <numFmt numFmtId="169" formatCode="_(* #,##0_);_(* \(#,##0\);_(* &quot;-&quot;??_);_(@_)"/>
  </numFmts>
  <fonts count="26" x14ac:knownFonts="1">
    <font>
      <sz val="11"/>
      <color theme="1"/>
      <name val="Calibri"/>
      <family val="2"/>
      <scheme val="minor"/>
    </font>
    <font>
      <sz val="11"/>
      <color theme="1"/>
      <name val="Calibri"/>
      <family val="2"/>
      <scheme val="minor"/>
    </font>
    <font>
      <sz val="11"/>
      <name val="Arial Narrow"/>
      <family val="2"/>
    </font>
    <font>
      <sz val="10"/>
      <color theme="1"/>
      <name val="Arial Narrow"/>
      <family val="2"/>
    </font>
    <font>
      <b/>
      <sz val="11"/>
      <name val="Arial Narrow"/>
      <family val="2"/>
    </font>
    <font>
      <sz val="10"/>
      <name val="Arial"/>
      <family val="2"/>
    </font>
    <font>
      <sz val="8"/>
      <name val="Arial"/>
      <family val="2"/>
    </font>
    <font>
      <sz val="11"/>
      <color theme="1"/>
      <name val="Arial Narrow"/>
      <family val="2"/>
    </font>
    <font>
      <b/>
      <sz val="11"/>
      <color theme="1"/>
      <name val="Arial Narrow"/>
      <family val="2"/>
    </font>
    <font>
      <i/>
      <sz val="11"/>
      <color theme="1"/>
      <name val="Calibri"/>
      <family val="2"/>
      <scheme val="minor"/>
    </font>
    <font>
      <sz val="10"/>
      <color indexed="8"/>
      <name val="Arial"/>
      <family val="2"/>
    </font>
    <font>
      <sz val="8"/>
      <name val="Calibri"/>
      <family val="2"/>
      <scheme val="minor"/>
    </font>
    <font>
      <sz val="9"/>
      <color theme="1"/>
      <name val="Arial Narrow"/>
      <family val="2"/>
    </font>
    <font>
      <b/>
      <sz val="9"/>
      <color theme="1"/>
      <name val="Arial Narrow"/>
      <family val="2"/>
    </font>
    <font>
      <sz val="9"/>
      <color theme="1"/>
      <name val="Times New Roman"/>
      <family val="1"/>
    </font>
    <font>
      <b/>
      <sz val="9"/>
      <name val="Arial Narrow"/>
      <family val="2"/>
    </font>
    <font>
      <b/>
      <i/>
      <sz val="9"/>
      <color theme="1"/>
      <name val="Arial Narrow"/>
      <family val="2"/>
    </font>
    <font>
      <sz val="9"/>
      <name val="Arial Narrow"/>
      <family val="2"/>
    </font>
    <font>
      <i/>
      <sz val="9"/>
      <color theme="1"/>
      <name val="Arial Narrow"/>
      <family val="2"/>
    </font>
    <font>
      <sz val="9"/>
      <color rgb="FF0070C0"/>
      <name val="Arial Narrow"/>
      <family val="2"/>
    </font>
    <font>
      <sz val="9"/>
      <color rgb="FF000000"/>
      <name val="Arial Narrow"/>
      <family val="2"/>
    </font>
    <font>
      <sz val="9"/>
      <color rgb="FF212121"/>
      <name val="Arial Narrow"/>
      <family val="2"/>
    </font>
    <font>
      <b/>
      <i/>
      <sz val="9"/>
      <color rgb="FFFF0000"/>
      <name val="Arial Narrow"/>
      <family val="2"/>
    </font>
    <font>
      <sz val="9"/>
      <color rgb="FFFF0000"/>
      <name val="Arial Narrow"/>
      <family val="2"/>
    </font>
    <font>
      <sz val="9"/>
      <color theme="1"/>
      <name val="Calibri"/>
      <family val="2"/>
      <scheme val="minor"/>
    </font>
    <font>
      <i/>
      <sz val="9"/>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70C0"/>
        <bgColor indexed="64"/>
      </patternFill>
    </fill>
    <fill>
      <patternFill patternType="solid">
        <fgColor rgb="FF009FDA"/>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indexed="64"/>
      </left>
      <right style="thin">
        <color rgb="FFFF0000"/>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n">
        <color indexed="64"/>
      </top>
      <bottom style="thin">
        <color indexed="64"/>
      </bottom>
      <diagonal/>
    </border>
  </borders>
  <cellStyleXfs count="10">
    <xf numFmtId="0" fontId="0" fillId="0" borderId="0"/>
    <xf numFmtId="166" fontId="1" fillId="0" borderId="0" applyFont="0" applyFill="0" applyBorder="0" applyAlignment="0" applyProtection="0"/>
    <xf numFmtId="43"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xf numFmtId="0" fontId="1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11">
    <xf numFmtId="0" fontId="0" fillId="0" borderId="0" xfId="0"/>
    <xf numFmtId="0" fontId="7" fillId="0" borderId="0" xfId="0" applyFont="1" applyAlignment="1">
      <alignment wrapText="1"/>
    </xf>
    <xf numFmtId="0" fontId="7" fillId="0" borderId="0" xfId="0" applyFont="1"/>
    <xf numFmtId="0" fontId="3"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2" fillId="0" borderId="1"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wrapText="1"/>
    </xf>
    <xf numFmtId="0" fontId="9" fillId="0" borderId="0" xfId="0" applyFont="1" applyAlignment="1">
      <alignment vertical="center" wrapText="1"/>
    </xf>
    <xf numFmtId="0" fontId="9" fillId="0" borderId="0" xfId="0" applyFont="1" applyAlignment="1">
      <alignment vertical="center"/>
    </xf>
    <xf numFmtId="0" fontId="0" fillId="2" borderId="0" xfId="0" applyFill="1" applyAlignment="1">
      <alignment vertical="center" wrapText="1"/>
    </xf>
    <xf numFmtId="0" fontId="0" fillId="2" borderId="0" xfId="0" applyFill="1" applyAlignment="1">
      <alignment vertical="center"/>
    </xf>
    <xf numFmtId="0" fontId="2" fillId="0" borderId="0" xfId="0" applyFont="1"/>
    <xf numFmtId="0" fontId="2" fillId="0" borderId="0" xfId="0" applyFont="1" applyAlignment="1">
      <alignment wrapText="1"/>
    </xf>
    <xf numFmtId="0" fontId="2" fillId="0" borderId="23"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26" xfId="0" applyFont="1" applyBorder="1" applyAlignment="1">
      <alignment horizontal="center" vertical="center"/>
    </xf>
    <xf numFmtId="169" fontId="2" fillId="0" borderId="1" xfId="8" applyNumberFormat="1" applyFont="1" applyBorder="1" applyAlignment="1">
      <alignment vertical="center"/>
    </xf>
    <xf numFmtId="169" fontId="2" fillId="0" borderId="1" xfId="8" applyNumberFormat="1" applyFont="1" applyBorder="1" applyAlignment="1">
      <alignment horizontal="right" vertical="center"/>
    </xf>
    <xf numFmtId="169" fontId="0" fillId="0" borderId="0" xfId="0" applyNumberFormat="1"/>
    <xf numFmtId="164" fontId="0" fillId="0" borderId="0" xfId="9" applyFont="1"/>
    <xf numFmtId="0" fontId="2" fillId="0" borderId="28" xfId="0" applyFont="1" applyBorder="1" applyAlignment="1">
      <alignment horizontal="center" vertical="center"/>
    </xf>
    <xf numFmtId="0" fontId="4" fillId="0" borderId="29" xfId="0" applyFont="1" applyBorder="1" applyAlignment="1">
      <alignment horizontal="left" vertical="center" wrapText="1"/>
    </xf>
    <xf numFmtId="169" fontId="4" fillId="0" borderId="29" xfId="0" applyNumberFormat="1" applyFont="1" applyBorder="1" applyAlignment="1">
      <alignment vertical="center"/>
    </xf>
    <xf numFmtId="169" fontId="4" fillId="0" borderId="29" xfId="0" applyNumberFormat="1" applyFont="1" applyBorder="1" applyAlignment="1">
      <alignment horizontal="right" vertical="center"/>
    </xf>
    <xf numFmtId="0" fontId="8" fillId="0" borderId="0" xfId="0" applyFont="1" applyAlignment="1">
      <alignment wrapText="1"/>
    </xf>
    <xf numFmtId="0" fontId="8" fillId="0" borderId="0" xfId="0" applyFont="1"/>
    <xf numFmtId="10" fontId="2" fillId="0" borderId="27" xfId="7" applyNumberFormat="1" applyFont="1" applyBorder="1" applyAlignment="1">
      <alignment horizontal="center" vertical="center"/>
    </xf>
    <xf numFmtId="10" fontId="4" fillId="0" borderId="30" xfId="7" applyNumberFormat="1" applyFont="1" applyBorder="1" applyAlignment="1">
      <alignment horizontal="center" vertical="center"/>
    </xf>
    <xf numFmtId="0" fontId="0" fillId="2" borderId="0" xfId="0" applyFill="1" applyAlignment="1">
      <alignment wrapText="1"/>
    </xf>
    <xf numFmtId="0" fontId="0" fillId="2" borderId="0" xfId="0" applyFill="1"/>
    <xf numFmtId="0" fontId="2" fillId="0" borderId="32" xfId="0" applyFont="1" applyBorder="1" applyAlignment="1">
      <alignment horizontal="center" vertical="center"/>
    </xf>
    <xf numFmtId="169" fontId="2" fillId="0" borderId="4" xfId="8" applyNumberFormat="1" applyFont="1" applyBorder="1" applyAlignment="1">
      <alignment vertical="center"/>
    </xf>
    <xf numFmtId="169" fontId="2" fillId="0" borderId="4" xfId="8" applyNumberFormat="1" applyFont="1" applyBorder="1" applyAlignment="1">
      <alignment horizontal="right" vertical="center"/>
    </xf>
    <xf numFmtId="0" fontId="7" fillId="2" borderId="1" xfId="0" applyFont="1" applyFill="1" applyBorder="1" applyAlignment="1">
      <alignment horizontal="left" wrapText="1"/>
    </xf>
    <xf numFmtId="166" fontId="12" fillId="0" borderId="1" xfId="1" applyFont="1" applyBorder="1" applyAlignment="1">
      <alignment horizontal="right" wrapText="1"/>
    </xf>
    <xf numFmtId="0" fontId="8" fillId="0" borderId="0" xfId="0" applyFont="1" applyAlignment="1">
      <alignment vertical="center" wrapText="1"/>
    </xf>
    <xf numFmtId="0" fontId="8" fillId="0" borderId="0" xfId="0" applyFont="1" applyAlignment="1">
      <alignment vertical="center"/>
    </xf>
    <xf numFmtId="0" fontId="13" fillId="0" borderId="2" xfId="0" applyFont="1" applyBorder="1" applyAlignment="1">
      <alignment horizontal="left" wrapText="1"/>
    </xf>
    <xf numFmtId="0" fontId="12" fillId="0" borderId="1" xfId="0" applyFont="1" applyBorder="1" applyAlignment="1">
      <alignment wrapText="1"/>
    </xf>
    <xf numFmtId="0" fontId="12" fillId="7" borderId="1" xfId="0" applyFont="1" applyFill="1" applyBorder="1" applyAlignment="1">
      <alignment horizontal="center" wrapText="1"/>
    </xf>
    <xf numFmtId="0" fontId="12" fillId="0" borderId="0" xfId="0" applyFont="1" applyAlignment="1">
      <alignment wrapText="1"/>
    </xf>
    <xf numFmtId="0" fontId="13" fillId="0" borderId="3" xfId="0" applyFont="1" applyBorder="1" applyAlignment="1">
      <alignment horizontal="left" wrapText="1"/>
    </xf>
    <xf numFmtId="0" fontId="12" fillId="0" borderId="3" xfId="0" applyFont="1" applyBorder="1" applyAlignment="1">
      <alignment horizontal="center" wrapText="1"/>
    </xf>
    <xf numFmtId="0" fontId="12" fillId="0" borderId="6" xfId="0" applyFont="1" applyBorder="1" applyAlignment="1">
      <alignment horizontal="center" wrapText="1"/>
    </xf>
    <xf numFmtId="3" fontId="12" fillId="0" borderId="6" xfId="0" applyNumberFormat="1" applyFont="1" applyBorder="1" applyAlignment="1">
      <alignment horizontal="center" vertical="center" wrapText="1"/>
    </xf>
    <xf numFmtId="0" fontId="12" fillId="0" borderId="2" xfId="0" applyFont="1" applyBorder="1" applyAlignment="1">
      <alignment wrapText="1"/>
    </xf>
    <xf numFmtId="0" fontId="14" fillId="9" borderId="0" xfId="0" applyFont="1" applyFill="1" applyAlignment="1">
      <alignment horizontal="center"/>
    </xf>
    <xf numFmtId="0" fontId="12" fillId="3" borderId="1" xfId="0" applyFont="1" applyFill="1" applyBorder="1" applyAlignment="1">
      <alignment horizontal="center" wrapText="1"/>
    </xf>
    <xf numFmtId="0" fontId="12" fillId="0" borderId="0" xfId="0" applyFont="1" applyAlignment="1">
      <alignment vertical="center"/>
    </xf>
    <xf numFmtId="0" fontId="13" fillId="0" borderId="6" xfId="0" applyFont="1" applyBorder="1" applyAlignment="1">
      <alignment horizontal="center" vertical="center" wrapText="1"/>
    </xf>
    <xf numFmtId="0" fontId="12" fillId="0" borderId="0" xfId="0" applyFont="1" applyAlignment="1">
      <alignment vertical="center" wrapText="1"/>
    </xf>
    <xf numFmtId="0" fontId="14" fillId="10" borderId="1" xfId="0" applyFont="1" applyFill="1" applyBorder="1"/>
    <xf numFmtId="0" fontId="15" fillId="0" borderId="4" xfId="0" applyFont="1" applyBorder="1" applyAlignment="1">
      <alignment horizontal="center" vertical="center" wrapText="1"/>
    </xf>
    <xf numFmtId="0" fontId="13" fillId="4" borderId="3" xfId="0" applyFont="1" applyFill="1" applyBorder="1" applyAlignment="1">
      <alignment horizontal="left"/>
    </xf>
    <xf numFmtId="0" fontId="13" fillId="4" borderId="9" xfId="0" applyFont="1" applyFill="1" applyBorder="1" applyAlignment="1">
      <alignment wrapText="1"/>
    </xf>
    <xf numFmtId="0" fontId="13" fillId="4" borderId="6" xfId="0" applyFont="1" applyFill="1" applyBorder="1" applyAlignment="1">
      <alignment wrapText="1"/>
    </xf>
    <xf numFmtId="0" fontId="13" fillId="4" borderId="1" xfId="0" applyFont="1" applyFill="1" applyBorder="1" applyAlignment="1">
      <alignment wrapText="1"/>
    </xf>
    <xf numFmtId="0" fontId="13" fillId="4" borderId="7" xfId="0" applyFont="1" applyFill="1" applyBorder="1" applyAlignment="1">
      <alignment horizontal="left" wrapText="1"/>
    </xf>
    <xf numFmtId="3" fontId="13" fillId="4" borderId="1" xfId="2" applyNumberFormat="1" applyFont="1" applyFill="1" applyBorder="1" applyAlignment="1">
      <alignment horizontal="center" vertical="center" wrapText="1"/>
    </xf>
    <xf numFmtId="167" fontId="13" fillId="4" borderId="1" xfId="2" applyNumberFormat="1" applyFont="1" applyFill="1" applyBorder="1" applyAlignment="1">
      <alignment wrapText="1"/>
    </xf>
    <xf numFmtId="167" fontId="13" fillId="4" borderId="1" xfId="0" applyNumberFormat="1" applyFont="1" applyFill="1" applyBorder="1" applyAlignment="1">
      <alignment wrapText="1"/>
    </xf>
    <xf numFmtId="2" fontId="12" fillId="0" borderId="0" xfId="0" applyNumberFormat="1" applyFont="1" applyAlignment="1">
      <alignment wrapText="1"/>
    </xf>
    <xf numFmtId="0" fontId="16" fillId="5" borderId="11" xfId="0" applyFont="1" applyFill="1" applyBorder="1" applyAlignment="1">
      <alignment horizontal="left" vertical="center" wrapText="1"/>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16" fillId="5" borderId="12" xfId="0" applyFont="1" applyFill="1" applyBorder="1" applyAlignment="1">
      <alignment horizontal="left" vertical="center" wrapText="1"/>
    </xf>
    <xf numFmtId="3" fontId="13" fillId="5" borderId="12" xfId="2" applyNumberFormat="1" applyFont="1" applyFill="1" applyBorder="1" applyAlignment="1">
      <alignment horizontal="center" vertical="center" wrapText="1"/>
    </xf>
    <xf numFmtId="167" fontId="13" fillId="5" borderId="12" xfId="2" applyNumberFormat="1" applyFont="1" applyFill="1" applyBorder="1" applyAlignment="1">
      <alignment horizontal="center" vertical="center" wrapText="1"/>
    </xf>
    <xf numFmtId="167" fontId="13" fillId="5" borderId="12" xfId="2" applyNumberFormat="1" applyFont="1" applyFill="1" applyBorder="1" applyAlignment="1">
      <alignment horizontal="right" vertical="center" wrapText="1"/>
    </xf>
    <xf numFmtId="0" fontId="12" fillId="0" borderId="8" xfId="0" applyFont="1" applyBorder="1" applyAlignment="1">
      <alignment vertical="center" wrapText="1"/>
    </xf>
    <xf numFmtId="0" fontId="12" fillId="0" borderId="6" xfId="0" applyFont="1" applyBorder="1" applyAlignment="1">
      <alignment vertical="center" wrapText="1"/>
    </xf>
    <xf numFmtId="0" fontId="17" fillId="7" borderId="1" xfId="0" applyFont="1" applyFill="1" applyBorder="1" applyAlignment="1">
      <alignment vertical="center" wrapText="1"/>
    </xf>
    <xf numFmtId="0" fontId="12" fillId="0" borderId="2" xfId="0" applyFont="1" applyBorder="1" applyAlignment="1">
      <alignment horizontal="left" vertical="center" wrapText="1"/>
    </xf>
    <xf numFmtId="0" fontId="16" fillId="0" borderId="1" xfId="0" applyFont="1" applyBorder="1" applyAlignment="1">
      <alignment horizontal="left" vertical="center" wrapText="1"/>
    </xf>
    <xf numFmtId="3" fontId="17" fillId="2" borderId="1" xfId="2" applyNumberFormat="1" applyFont="1" applyFill="1" applyBorder="1" applyAlignment="1">
      <alignment horizontal="center" vertical="center" wrapText="1"/>
    </xf>
    <xf numFmtId="167" fontId="17" fillId="2" borderId="1" xfId="2" applyNumberFormat="1" applyFont="1" applyFill="1" applyBorder="1" applyAlignment="1">
      <alignment horizontal="center" vertical="center" wrapText="1"/>
    </xf>
    <xf numFmtId="167" fontId="18" fillId="0" borderId="1" xfId="2" applyNumberFormat="1" applyFont="1" applyFill="1" applyBorder="1" applyAlignment="1">
      <alignment horizontal="right" vertical="center" wrapText="1"/>
    </xf>
    <xf numFmtId="167" fontId="12" fillId="0" borderId="1" xfId="0" applyNumberFormat="1" applyFont="1" applyBorder="1" applyAlignment="1">
      <alignment horizontal="right" vertical="center" wrapText="1"/>
    </xf>
    <xf numFmtId="3" fontId="12" fillId="0" borderId="1" xfId="2" applyNumberFormat="1" applyFont="1" applyFill="1" applyBorder="1" applyAlignment="1">
      <alignment horizontal="center" vertical="center" wrapText="1"/>
    </xf>
    <xf numFmtId="0" fontId="12" fillId="0" borderId="1" xfId="0" applyFont="1" applyBorder="1" applyAlignment="1">
      <alignment horizontal="right" vertical="center" wrapText="1"/>
    </xf>
    <xf numFmtId="167" fontId="12" fillId="0" borderId="1" xfId="2" applyNumberFormat="1" applyFont="1" applyFill="1" applyBorder="1" applyAlignment="1">
      <alignment horizontal="left" vertical="center" wrapText="1"/>
    </xf>
    <xf numFmtId="167" fontId="12" fillId="0" borderId="3" xfId="2" applyNumberFormat="1" applyFont="1" applyFill="1" applyBorder="1" applyAlignment="1">
      <alignment horizontal="left" vertical="center" wrapText="1"/>
    </xf>
    <xf numFmtId="0" fontId="17" fillId="2" borderId="1" xfId="0" applyFont="1" applyFill="1" applyBorder="1" applyAlignment="1">
      <alignment vertical="center" wrapText="1"/>
    </xf>
    <xf numFmtId="167" fontId="12" fillId="0" borderId="2" xfId="2" applyNumberFormat="1" applyFont="1" applyFill="1" applyBorder="1" applyAlignment="1">
      <alignment vertical="center" wrapText="1"/>
    </xf>
    <xf numFmtId="3" fontId="18" fillId="2" borderId="1" xfId="2" applyNumberFormat="1" applyFont="1" applyFill="1" applyBorder="1" applyAlignment="1">
      <alignment horizontal="center" vertical="center" wrapText="1"/>
    </xf>
    <xf numFmtId="3" fontId="17" fillId="0" borderId="1" xfId="2" applyNumberFormat="1"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12" fillId="0" borderId="3" xfId="0" applyFont="1" applyBorder="1" applyAlignment="1">
      <alignment vertical="center" wrapText="1"/>
    </xf>
    <xf numFmtId="0" fontId="12" fillId="0" borderId="2" xfId="0" applyFont="1" applyBorder="1" applyAlignment="1">
      <alignment horizontal="left" vertical="top" wrapText="1"/>
    </xf>
    <xf numFmtId="167" fontId="12" fillId="0" borderId="1" xfId="2" applyNumberFormat="1" applyFont="1" applyFill="1" applyBorder="1" applyAlignment="1">
      <alignment horizontal="center" vertical="center" wrapText="1"/>
    </xf>
    <xf numFmtId="0" fontId="12"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horizontal="right" vertical="center" wrapText="1"/>
    </xf>
    <xf numFmtId="0" fontId="12" fillId="0" borderId="2"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vertical="center"/>
    </xf>
    <xf numFmtId="0" fontId="12" fillId="0" borderId="1" xfId="0" applyFont="1" applyBorder="1" applyAlignment="1">
      <alignment horizontal="justify" vertical="center" wrapText="1"/>
    </xf>
    <xf numFmtId="0" fontId="12" fillId="0" borderId="3" xfId="0" applyFont="1" applyBorder="1" applyAlignment="1">
      <alignment horizontal="justify" vertical="center" wrapText="1"/>
    </xf>
    <xf numFmtId="0" fontId="12" fillId="2" borderId="1" xfId="0" applyFont="1" applyFill="1" applyBorder="1" applyAlignment="1">
      <alignment vertical="center" wrapText="1"/>
    </xf>
    <xf numFmtId="0" fontId="19" fillId="0" borderId="1" xfId="0" applyFont="1" applyBorder="1" applyAlignment="1">
      <alignment vertical="center" wrapText="1"/>
    </xf>
    <xf numFmtId="0" fontId="13" fillId="4" borderId="16" xfId="0" applyFont="1" applyFill="1" applyBorder="1" applyAlignment="1">
      <alignment horizontal="left"/>
    </xf>
    <xf numFmtId="0" fontId="13" fillId="4" borderId="14" xfId="0" applyFont="1" applyFill="1" applyBorder="1" applyAlignment="1">
      <alignment wrapText="1"/>
    </xf>
    <xf numFmtId="0" fontId="13" fillId="4" borderId="2" xfId="0" applyFont="1" applyFill="1" applyBorder="1" applyAlignment="1">
      <alignment horizontal="left" wrapText="1"/>
    </xf>
    <xf numFmtId="0" fontId="16" fillId="5" borderId="3" xfId="0" applyFont="1" applyFill="1" applyBorder="1" applyAlignment="1">
      <alignment horizontal="left"/>
    </xf>
    <xf numFmtId="0" fontId="16" fillId="5" borderId="6" xfId="0" applyFont="1" applyFill="1" applyBorder="1" applyAlignment="1">
      <alignment wrapText="1"/>
    </xf>
    <xf numFmtId="0" fontId="16" fillId="5" borderId="1" xfId="0" applyFont="1" applyFill="1" applyBorder="1" applyAlignment="1">
      <alignment wrapText="1"/>
    </xf>
    <xf numFmtId="0" fontId="16" fillId="5" borderId="2" xfId="0" applyFont="1" applyFill="1" applyBorder="1" applyAlignment="1">
      <alignment horizontal="left" wrapText="1"/>
    </xf>
    <xf numFmtId="3" fontId="16" fillId="5" borderId="1" xfId="2" applyNumberFormat="1" applyFont="1" applyFill="1" applyBorder="1" applyAlignment="1">
      <alignment horizontal="center" vertical="center" wrapText="1"/>
    </xf>
    <xf numFmtId="167" fontId="16" fillId="5" borderId="1" xfId="2" applyNumberFormat="1" applyFont="1" applyFill="1" applyBorder="1" applyAlignment="1">
      <alignment wrapText="1"/>
    </xf>
    <xf numFmtId="0" fontId="12" fillId="0" borderId="4" xfId="0" applyFont="1" applyBorder="1" applyAlignment="1">
      <alignment vertical="center" wrapText="1"/>
    </xf>
    <xf numFmtId="0" fontId="20" fillId="0" borderId="31" xfId="0" applyFont="1" applyBorder="1" applyAlignment="1">
      <alignment horizontal="left" vertical="center" wrapText="1"/>
    </xf>
    <xf numFmtId="0" fontId="16" fillId="0" borderId="1" xfId="0" applyFont="1" applyBorder="1" applyAlignment="1">
      <alignment horizontal="left" wrapText="1"/>
    </xf>
    <xf numFmtId="0" fontId="18" fillId="0" borderId="1" xfId="0" applyFont="1" applyBorder="1" applyAlignment="1">
      <alignment horizontal="right" wrapText="1"/>
    </xf>
    <xf numFmtId="0" fontId="20" fillId="0" borderId="1" xfId="0" applyFont="1" applyBorder="1" applyAlignment="1">
      <alignment vertical="center" wrapText="1"/>
    </xf>
    <xf numFmtId="0" fontId="12" fillId="2" borderId="1" xfId="0" applyFont="1" applyFill="1" applyBorder="1" applyAlignment="1">
      <alignment wrapText="1"/>
    </xf>
    <xf numFmtId="0" fontId="21" fillId="0" borderId="2" xfId="0" applyFont="1" applyBorder="1" applyAlignment="1">
      <alignment horizontal="left" vertical="center" wrapText="1"/>
    </xf>
    <xf numFmtId="20" fontId="12" fillId="0" borderId="1" xfId="0" applyNumberFormat="1" applyFont="1" applyBorder="1" applyAlignment="1">
      <alignment wrapText="1"/>
    </xf>
    <xf numFmtId="0" fontId="12" fillId="0" borderId="1" xfId="0" applyFont="1" applyBorder="1" applyAlignment="1">
      <alignment horizontal="right" wrapText="1"/>
    </xf>
    <xf numFmtId="0" fontId="21" fillId="0" borderId="7" xfId="0" applyFont="1" applyBorder="1" applyAlignment="1">
      <alignment horizontal="left" vertical="center" wrapText="1"/>
    </xf>
    <xf numFmtId="0" fontId="12" fillId="0" borderId="15" xfId="0" applyFont="1" applyBorder="1" applyAlignment="1">
      <alignment horizontal="left" vertical="center" wrapText="1"/>
    </xf>
    <xf numFmtId="167" fontId="17" fillId="0" borderId="1" xfId="2" applyNumberFormat="1" applyFont="1" applyFill="1" applyBorder="1" applyAlignment="1">
      <alignment horizontal="center" vertical="center" wrapText="1"/>
    </xf>
    <xf numFmtId="0" fontId="20" fillId="0" borderId="4" xfId="0" applyFont="1" applyBorder="1" applyAlignment="1">
      <alignment vertical="center" wrapText="1"/>
    </xf>
    <xf numFmtId="0" fontId="21" fillId="0" borderId="7" xfId="0" applyFont="1" applyBorder="1" applyAlignment="1">
      <alignment vertical="center"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6" fillId="5" borderId="17" xfId="0" applyFont="1" applyFill="1" applyBorder="1" applyAlignment="1">
      <alignment horizontal="left" vertical="center"/>
    </xf>
    <xf numFmtId="0" fontId="16" fillId="5" borderId="18" xfId="0" applyFont="1" applyFill="1" applyBorder="1" applyAlignment="1">
      <alignment wrapText="1"/>
    </xf>
    <xf numFmtId="167" fontId="16" fillId="5" borderId="1" xfId="2" applyNumberFormat="1" applyFont="1" applyFill="1" applyBorder="1" applyAlignment="1">
      <alignment horizontal="center" vertical="center" wrapText="1"/>
    </xf>
    <xf numFmtId="0" fontId="16" fillId="7" borderId="1" xfId="0" applyFont="1" applyFill="1" applyBorder="1" applyAlignment="1">
      <alignment horizontal="left" wrapText="1"/>
    </xf>
    <xf numFmtId="0" fontId="12" fillId="7" borderId="1" xfId="0" applyFont="1" applyFill="1" applyBorder="1" applyAlignment="1">
      <alignment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wrapText="1"/>
    </xf>
    <xf numFmtId="0" fontId="12" fillId="0" borderId="6" xfId="0" applyFont="1" applyBorder="1" applyAlignment="1">
      <alignment horizontal="left" wrapText="1"/>
    </xf>
    <xf numFmtId="0" fontId="18" fillId="7" borderId="1" xfId="0" applyFont="1" applyFill="1" applyBorder="1" applyAlignment="1">
      <alignment horizontal="left" wrapText="1"/>
    </xf>
    <xf numFmtId="0" fontId="22" fillId="0" borderId="1" xfId="0" applyFont="1" applyBorder="1" applyAlignment="1">
      <alignment horizontal="left" wrapText="1"/>
    </xf>
    <xf numFmtId="3" fontId="23" fillId="0" borderId="1" xfId="2" applyNumberFormat="1" applyFont="1" applyFill="1" applyBorder="1" applyAlignment="1">
      <alignment horizontal="center" vertical="center" wrapText="1"/>
    </xf>
    <xf numFmtId="167" fontId="18" fillId="0" borderId="1" xfId="2" applyNumberFormat="1" applyFont="1" applyBorder="1" applyAlignment="1">
      <alignment horizontal="right" vertical="center" wrapText="1"/>
    </xf>
    <xf numFmtId="167" fontId="12" fillId="2" borderId="1" xfId="2" applyNumberFormat="1" applyFont="1" applyFill="1" applyBorder="1" applyAlignment="1">
      <alignment horizontal="left" vertical="center" wrapText="1"/>
    </xf>
    <xf numFmtId="167" fontId="12" fillId="2" borderId="6" xfId="2" applyNumberFormat="1" applyFont="1" applyFill="1" applyBorder="1" applyAlignment="1">
      <alignment horizontal="left" vertical="center" wrapText="1"/>
    </xf>
    <xf numFmtId="0" fontId="12" fillId="0" borderId="4" xfId="0" applyFont="1" applyBorder="1" applyAlignment="1">
      <alignment horizontal="center" vertical="center" wrapText="1"/>
    </xf>
    <xf numFmtId="167" fontId="12" fillId="0" borderId="6" xfId="2" applyNumberFormat="1" applyFont="1" applyFill="1" applyBorder="1" applyAlignment="1">
      <alignment horizontal="left" vertical="center" wrapText="1"/>
    </xf>
    <xf numFmtId="0" fontId="16" fillId="5" borderId="18" xfId="0" applyFont="1" applyFill="1" applyBorder="1" applyAlignment="1">
      <alignment horizontal="left" wrapText="1"/>
    </xf>
    <xf numFmtId="166" fontId="16" fillId="5" borderId="1" xfId="0" applyNumberFormat="1" applyFont="1" applyFill="1" applyBorder="1" applyAlignment="1">
      <alignment wrapText="1"/>
    </xf>
    <xf numFmtId="0" fontId="12" fillId="2" borderId="17" xfId="0" applyFont="1" applyFill="1" applyBorder="1" applyAlignment="1">
      <alignment horizontal="left" vertical="center" wrapText="1"/>
    </xf>
    <xf numFmtId="0" fontId="12" fillId="6" borderId="2" xfId="0" applyFont="1" applyFill="1" applyBorder="1" applyAlignment="1">
      <alignment vertical="center" wrapText="1"/>
    </xf>
    <xf numFmtId="0" fontId="23" fillId="0" borderId="1" xfId="0" applyFont="1" applyBorder="1" applyAlignment="1">
      <alignment vertical="center" wrapText="1"/>
    </xf>
    <xf numFmtId="0" fontId="12" fillId="0" borderId="5" xfId="0" applyFont="1" applyBorder="1" applyAlignment="1">
      <alignment vertical="center" wrapText="1"/>
    </xf>
    <xf numFmtId="0" fontId="16" fillId="5" borderId="6" xfId="0" applyFont="1" applyFill="1" applyBorder="1" applyAlignment="1">
      <alignment horizontal="left" vertical="center" wrapText="1"/>
    </xf>
    <xf numFmtId="0" fontId="16" fillId="5" borderId="1" xfId="0" applyFont="1" applyFill="1" applyBorder="1" applyAlignment="1">
      <alignment vertical="center" wrapText="1"/>
    </xf>
    <xf numFmtId="0" fontId="16" fillId="5" borderId="6" xfId="0" applyFont="1" applyFill="1" applyBorder="1" applyAlignment="1">
      <alignment vertical="center" wrapText="1"/>
    </xf>
    <xf numFmtId="3" fontId="16" fillId="5" borderId="6" xfId="2" applyNumberFormat="1" applyFont="1" applyFill="1" applyBorder="1" applyAlignment="1">
      <alignment horizontal="center" vertical="center" wrapText="1"/>
    </xf>
    <xf numFmtId="167" fontId="16" fillId="5" borderId="6" xfId="2" applyNumberFormat="1" applyFont="1" applyFill="1" applyBorder="1" applyAlignment="1">
      <alignment horizontal="center" vertical="center" wrapText="1"/>
    </xf>
    <xf numFmtId="167" fontId="16" fillId="5" borderId="6" xfId="2" applyNumberFormat="1" applyFont="1" applyFill="1" applyBorder="1" applyAlignment="1">
      <alignment vertical="center" wrapText="1"/>
    </xf>
    <xf numFmtId="0" fontId="16" fillId="5" borderId="2" xfId="0" applyFont="1" applyFill="1" applyBorder="1" applyAlignment="1">
      <alignment vertical="center" wrapText="1"/>
    </xf>
    <xf numFmtId="0" fontId="24" fillId="0" borderId="0" xfId="0" applyFont="1" applyAlignment="1">
      <alignment vertical="center" wrapText="1"/>
    </xf>
    <xf numFmtId="0" fontId="12" fillId="0" borderId="4" xfId="0" applyFont="1" applyBorder="1" applyAlignment="1">
      <alignment horizontal="left" vertical="center" wrapText="1"/>
    </xf>
    <xf numFmtId="0" fontId="16"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4" fillId="2" borderId="0" xfId="0" applyFont="1" applyFill="1" applyAlignment="1">
      <alignment vertical="center" wrapText="1"/>
    </xf>
    <xf numFmtId="0" fontId="12" fillId="2" borderId="1" xfId="0" applyFont="1" applyFill="1" applyBorder="1" applyAlignment="1">
      <alignment horizontal="left" vertical="center" wrapText="1"/>
    </xf>
    <xf numFmtId="3" fontId="12" fillId="0" borderId="1" xfId="2" applyNumberFormat="1" applyFont="1" applyBorder="1" applyAlignment="1">
      <alignment horizontal="center" vertical="center" wrapText="1"/>
    </xf>
    <xf numFmtId="168" fontId="12" fillId="0" borderId="3" xfId="2" applyNumberFormat="1" applyFont="1" applyBorder="1" applyAlignment="1">
      <alignment wrapText="1"/>
    </xf>
    <xf numFmtId="0" fontId="24" fillId="0" borderId="0" xfId="0" applyFont="1" applyAlignment="1">
      <alignment wrapText="1"/>
    </xf>
    <xf numFmtId="0" fontId="12" fillId="0" borderId="6" xfId="0" applyFont="1" applyBorder="1" applyAlignment="1">
      <alignment wrapText="1"/>
    </xf>
    <xf numFmtId="3" fontId="12" fillId="0" borderId="6" xfId="2" applyNumberFormat="1" applyFont="1" applyBorder="1" applyAlignment="1">
      <alignment horizontal="center" vertical="center" wrapText="1"/>
    </xf>
    <xf numFmtId="167" fontId="18" fillId="0" borderId="6" xfId="2" applyNumberFormat="1" applyFont="1" applyFill="1" applyBorder="1" applyAlignment="1">
      <alignment horizontal="right" vertical="center" wrapText="1"/>
    </xf>
    <xf numFmtId="168" fontId="12" fillId="0" borderId="6" xfId="2" applyNumberFormat="1" applyFont="1" applyBorder="1" applyAlignment="1">
      <alignment wrapText="1"/>
    </xf>
    <xf numFmtId="0" fontId="16" fillId="5" borderId="3" xfId="0" applyFont="1" applyFill="1" applyBorder="1" applyAlignment="1">
      <alignment horizontal="left" vertical="center"/>
    </xf>
    <xf numFmtId="0" fontId="16" fillId="5" borderId="6" xfId="0" applyFont="1" applyFill="1" applyBorder="1" applyAlignment="1">
      <alignment horizontal="left" wrapText="1"/>
    </xf>
    <xf numFmtId="167" fontId="16" fillId="5" borderId="6" xfId="2" applyNumberFormat="1" applyFont="1" applyFill="1" applyBorder="1" applyAlignment="1">
      <alignment wrapText="1"/>
    </xf>
    <xf numFmtId="168" fontId="12" fillId="0" borderId="3" xfId="2" applyNumberFormat="1" applyFont="1" applyBorder="1" applyAlignment="1">
      <alignment vertical="center" wrapText="1"/>
    </xf>
    <xf numFmtId="3" fontId="12" fillId="0" borderId="6" xfId="2" applyNumberFormat="1" applyFont="1" applyFill="1" applyBorder="1" applyAlignment="1">
      <alignment horizontal="center" vertical="center" wrapText="1"/>
    </xf>
    <xf numFmtId="167" fontId="12" fillId="0" borderId="6" xfId="2" applyNumberFormat="1" applyFont="1" applyFill="1" applyBorder="1" applyAlignment="1">
      <alignment horizontal="center" vertical="center" wrapText="1"/>
    </xf>
    <xf numFmtId="168" fontId="12" fillId="0" borderId="6" xfId="2" applyNumberFormat="1" applyFont="1" applyBorder="1" applyAlignment="1">
      <alignment vertical="center" wrapText="1"/>
    </xf>
    <xf numFmtId="0" fontId="16" fillId="5" borderId="1" xfId="0" applyFont="1" applyFill="1" applyBorder="1"/>
    <xf numFmtId="0" fontId="16" fillId="5" borderId="6" xfId="0" applyFont="1" applyFill="1" applyBorder="1" applyAlignment="1">
      <alignment horizontal="left"/>
    </xf>
    <xf numFmtId="0" fontId="16" fillId="5" borderId="6" xfId="0" applyFont="1" applyFill="1" applyBorder="1"/>
    <xf numFmtId="3" fontId="16" fillId="5" borderId="6" xfId="2" applyNumberFormat="1" applyFont="1" applyFill="1" applyBorder="1" applyAlignment="1">
      <alignment horizontal="center" vertical="center"/>
    </xf>
    <xf numFmtId="167" fontId="16" fillId="5" borderId="6" xfId="2" applyNumberFormat="1" applyFont="1" applyFill="1" applyBorder="1" applyAlignment="1"/>
    <xf numFmtId="0" fontId="16" fillId="5" borderId="2" xfId="0" applyFont="1" applyFill="1" applyBorder="1"/>
    <xf numFmtId="167" fontId="12" fillId="0" borderId="1" xfId="2" applyNumberFormat="1" applyFont="1" applyBorder="1" applyAlignment="1">
      <alignment horizontal="center" vertical="center" wrapText="1"/>
    </xf>
    <xf numFmtId="168" fontId="12" fillId="0" borderId="1" xfId="2" applyNumberFormat="1" applyFont="1" applyBorder="1" applyAlignment="1">
      <alignment wrapText="1"/>
    </xf>
    <xf numFmtId="0" fontId="21" fillId="0" borderId="2" xfId="0" applyFont="1" applyBorder="1" applyAlignment="1">
      <alignment vertical="center" wrapText="1"/>
    </xf>
    <xf numFmtId="0" fontId="21" fillId="0" borderId="1" xfId="0" applyFont="1" applyBorder="1" applyAlignment="1">
      <alignment vertical="center" wrapText="1"/>
    </xf>
    <xf numFmtId="3" fontId="21" fillId="0" borderId="1" xfId="1" applyNumberFormat="1" applyFont="1" applyBorder="1" applyAlignment="1">
      <alignment horizontal="center" vertical="center" wrapText="1"/>
    </xf>
    <xf numFmtId="167" fontId="12" fillId="0" borderId="1" xfId="2" applyNumberFormat="1" applyFont="1" applyFill="1" applyBorder="1" applyAlignment="1">
      <alignment vertical="center" wrapText="1"/>
    </xf>
    <xf numFmtId="0" fontId="13" fillId="4" borderId="6" xfId="0" applyFont="1" applyFill="1" applyBorder="1" applyAlignment="1">
      <alignment horizontal="left" wrapText="1"/>
    </xf>
    <xf numFmtId="3" fontId="13" fillId="4" borderId="6" xfId="2" applyNumberFormat="1" applyFont="1" applyFill="1" applyBorder="1" applyAlignment="1">
      <alignment horizontal="center" vertical="center" wrapText="1"/>
    </xf>
    <xf numFmtId="167" fontId="13" fillId="4" borderId="6" xfId="2" applyNumberFormat="1" applyFont="1" applyFill="1" applyBorder="1" applyAlignment="1">
      <alignment wrapText="1"/>
    </xf>
    <xf numFmtId="168" fontId="13" fillId="4" borderId="6" xfId="0" applyNumberFormat="1" applyFont="1" applyFill="1" applyBorder="1" applyAlignment="1">
      <alignment wrapText="1"/>
    </xf>
    <xf numFmtId="0" fontId="13" fillId="4" borderId="2" xfId="0" applyFont="1" applyFill="1" applyBorder="1" applyAlignment="1">
      <alignment wrapText="1"/>
    </xf>
    <xf numFmtId="0" fontId="16" fillId="5" borderId="2" xfId="0" applyFont="1" applyFill="1" applyBorder="1" applyAlignment="1">
      <alignment wrapText="1"/>
    </xf>
    <xf numFmtId="168" fontId="12" fillId="0" borderId="1" xfId="2" applyNumberFormat="1" applyFont="1" applyFill="1" applyBorder="1" applyAlignment="1">
      <alignment wrapText="1"/>
    </xf>
    <xf numFmtId="166" fontId="24" fillId="0" borderId="0" xfId="1" applyFont="1" applyFill="1" applyAlignment="1">
      <alignment wrapText="1"/>
    </xf>
    <xf numFmtId="168" fontId="12" fillId="0" borderId="1" xfId="2" applyNumberFormat="1" applyFont="1" applyFill="1" applyBorder="1" applyAlignment="1">
      <alignment vertical="center" wrapText="1"/>
    </xf>
    <xf numFmtId="167" fontId="12" fillId="2" borderId="1" xfId="2" applyNumberFormat="1" applyFont="1" applyFill="1" applyBorder="1" applyAlignment="1">
      <alignment horizontal="center" vertical="center" wrapText="1"/>
    </xf>
    <xf numFmtId="0" fontId="12" fillId="0" borderId="7" xfId="0" applyFont="1" applyBorder="1" applyAlignment="1">
      <alignment horizontal="left" vertical="center" wrapText="1"/>
    </xf>
    <xf numFmtId="3" fontId="23" fillId="0" borderId="1" xfId="2" applyNumberFormat="1" applyFont="1" applyBorder="1" applyAlignment="1">
      <alignment horizontal="center" vertical="center" wrapText="1"/>
    </xf>
    <xf numFmtId="166" fontId="12" fillId="0" borderId="7" xfId="1" applyFont="1" applyBorder="1" applyAlignment="1">
      <alignment vertical="center" wrapText="1"/>
    </xf>
    <xf numFmtId="0" fontId="20" fillId="0" borderId="2" xfId="0" applyFont="1" applyBorder="1" applyAlignment="1">
      <alignment vertical="center" wrapText="1"/>
    </xf>
    <xf numFmtId="168" fontId="16" fillId="5" borderId="6" xfId="0" applyNumberFormat="1" applyFont="1" applyFill="1" applyBorder="1" applyAlignment="1">
      <alignment wrapText="1"/>
    </xf>
    <xf numFmtId="0" fontId="12" fillId="0" borderId="35" xfId="0" applyFont="1" applyBorder="1" applyAlignment="1">
      <alignment horizontal="left" vertical="center" wrapText="1"/>
    </xf>
    <xf numFmtId="0" fontId="12" fillId="0" borderId="15" xfId="0" applyFont="1" applyBorder="1" applyAlignment="1">
      <alignment vertical="center" wrapText="1"/>
    </xf>
    <xf numFmtId="168" fontId="12" fillId="0" borderId="1" xfId="2" applyNumberFormat="1" applyFont="1" applyBorder="1" applyAlignment="1">
      <alignment horizontal="left" vertical="center" wrapText="1"/>
    </xf>
    <xf numFmtId="168" fontId="12" fillId="0" borderId="6" xfId="2" applyNumberFormat="1" applyFont="1" applyBorder="1" applyAlignment="1">
      <alignment horizontal="left" vertical="center" wrapText="1"/>
    </xf>
    <xf numFmtId="1" fontId="13" fillId="4" borderId="6" xfId="0" applyNumberFormat="1" applyFont="1" applyFill="1" applyBorder="1" applyAlignment="1">
      <alignment wrapText="1"/>
    </xf>
    <xf numFmtId="0" fontId="25" fillId="0" borderId="0" xfId="0" applyFont="1" applyAlignment="1">
      <alignment vertical="center" wrapText="1"/>
    </xf>
    <xf numFmtId="0" fontId="16" fillId="0" borderId="1" xfId="0" applyFont="1" applyBorder="1" applyAlignment="1">
      <alignment vertical="center" wrapText="1"/>
    </xf>
    <xf numFmtId="167" fontId="23" fillId="0" borderId="1" xfId="2" applyNumberFormat="1" applyFont="1" applyBorder="1" applyAlignment="1">
      <alignment horizontal="center" vertical="center" wrapText="1"/>
    </xf>
    <xf numFmtId="168" fontId="16" fillId="0" borderId="1" xfId="0" applyNumberFormat="1" applyFont="1" applyBorder="1" applyAlignment="1">
      <alignment vertical="center" wrapText="1"/>
    </xf>
    <xf numFmtId="167" fontId="17" fillId="0" borderId="1" xfId="2" applyNumberFormat="1" applyFont="1" applyBorder="1" applyAlignment="1">
      <alignment horizontal="center" vertical="center" wrapText="1"/>
    </xf>
    <xf numFmtId="0" fontId="12" fillId="0" borderId="31" xfId="0" applyFont="1" applyBorder="1" applyAlignment="1">
      <alignment horizontal="left" vertical="center" wrapText="1"/>
    </xf>
    <xf numFmtId="0" fontId="12" fillId="0" borderId="16" xfId="0" applyFont="1" applyBorder="1" applyAlignment="1">
      <alignment vertical="center" wrapText="1"/>
    </xf>
    <xf numFmtId="0" fontId="12" fillId="0" borderId="5" xfId="0" applyFont="1" applyBorder="1" applyAlignment="1">
      <alignment wrapText="1"/>
    </xf>
    <xf numFmtId="168" fontId="12" fillId="0" borderId="5" xfId="2" applyNumberFormat="1" applyFont="1" applyBorder="1" applyAlignment="1">
      <alignment wrapText="1"/>
    </xf>
    <xf numFmtId="167" fontId="12" fillId="0" borderId="1" xfId="2" applyNumberFormat="1" applyFont="1" applyBorder="1" applyAlignment="1">
      <alignment horizontal="left" vertical="center" wrapText="1"/>
    </xf>
    <xf numFmtId="0" fontId="16" fillId="5" borderId="1" xfId="0" applyFont="1" applyFill="1" applyBorder="1" applyAlignment="1">
      <alignment horizontal="left" wrapText="1"/>
    </xf>
    <xf numFmtId="3" fontId="13" fillId="5" borderId="1" xfId="2" applyNumberFormat="1" applyFont="1" applyFill="1" applyBorder="1" applyAlignment="1">
      <alignment horizontal="center" vertical="center" wrapText="1"/>
    </xf>
    <xf numFmtId="167" fontId="13" fillId="5" borderId="1" xfId="2" applyNumberFormat="1" applyFont="1" applyFill="1" applyBorder="1" applyAlignment="1">
      <alignment horizontal="center" vertical="center" wrapText="1"/>
    </xf>
    <xf numFmtId="167" fontId="13" fillId="5" borderId="1" xfId="2" applyNumberFormat="1" applyFont="1" applyFill="1" applyBorder="1" applyAlignment="1">
      <alignment horizontal="right" vertical="center" wrapText="1"/>
    </xf>
    <xf numFmtId="3" fontId="20" fillId="0" borderId="1" xfId="1" applyNumberFormat="1" applyFont="1" applyBorder="1" applyAlignment="1">
      <alignment horizontal="center" vertical="center" wrapText="1"/>
    </xf>
    <xf numFmtId="167" fontId="12" fillId="0" borderId="5" xfId="2"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13" fillId="4" borderId="1" xfId="0" applyFont="1" applyFill="1" applyBorder="1" applyAlignment="1">
      <alignment horizontal="left"/>
    </xf>
    <xf numFmtId="0" fontId="13" fillId="4" borderId="1" xfId="0" applyFont="1" applyFill="1" applyBorder="1" applyAlignment="1">
      <alignment horizontal="left" wrapText="1"/>
    </xf>
    <xf numFmtId="0" fontId="13" fillId="4" borderId="3" xfId="0" applyFont="1" applyFill="1" applyBorder="1" applyAlignment="1">
      <alignment horizontal="left" wrapText="1"/>
    </xf>
    <xf numFmtId="0" fontId="12" fillId="4" borderId="1" xfId="0" applyFont="1" applyFill="1" applyBorder="1" applyAlignment="1">
      <alignment wrapText="1"/>
    </xf>
    <xf numFmtId="0" fontId="13" fillId="4" borderId="1" xfId="0" applyFont="1" applyFill="1" applyBorder="1" applyAlignment="1">
      <alignment horizontal="center" wrapText="1"/>
    </xf>
    <xf numFmtId="3" fontId="13" fillId="4" borderId="1" xfId="2" applyNumberFormat="1" applyFont="1" applyFill="1" applyBorder="1" applyAlignment="1">
      <alignment horizontal="left" vertical="center" wrapText="1"/>
    </xf>
    <xf numFmtId="167" fontId="13" fillId="4" borderId="1" xfId="2" applyNumberFormat="1" applyFont="1" applyFill="1" applyBorder="1" applyAlignment="1">
      <alignment horizontal="left" wrapText="1"/>
    </xf>
    <xf numFmtId="168" fontId="13" fillId="4" borderId="1" xfId="0" applyNumberFormat="1" applyFont="1" applyFill="1" applyBorder="1" applyAlignment="1">
      <alignment horizontal="left" wrapText="1"/>
    </xf>
    <xf numFmtId="0" fontId="16" fillId="5" borderId="18"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4" xfId="0" applyFont="1" applyFill="1" applyBorder="1" applyAlignment="1">
      <alignment horizontal="left" vertical="center" wrapText="1"/>
    </xf>
    <xf numFmtId="3" fontId="16" fillId="5" borderId="4" xfId="2" applyNumberFormat="1" applyFont="1" applyFill="1" applyBorder="1" applyAlignment="1">
      <alignment horizontal="center" vertical="center" wrapText="1"/>
    </xf>
    <xf numFmtId="167" fontId="16" fillId="5" borderId="4" xfId="2" applyNumberFormat="1" applyFont="1" applyFill="1" applyBorder="1" applyAlignment="1">
      <alignment horizontal="center" vertical="center" wrapText="1"/>
    </xf>
    <xf numFmtId="167" fontId="16" fillId="5" borderId="4" xfId="2" applyNumberFormat="1" applyFont="1" applyFill="1" applyBorder="1" applyAlignment="1">
      <alignment horizontal="left" vertical="center" wrapText="1"/>
    </xf>
    <xf numFmtId="168" fontId="16" fillId="5" borderId="4" xfId="0" applyNumberFormat="1" applyFont="1" applyFill="1" applyBorder="1" applyAlignment="1">
      <alignment horizontal="left" vertical="center" wrapText="1"/>
    </xf>
    <xf numFmtId="0" fontId="16" fillId="5" borderId="4" xfId="0" applyFont="1" applyFill="1" applyBorder="1" applyAlignment="1">
      <alignment vertical="center" wrapText="1"/>
    </xf>
    <xf numFmtId="0" fontId="12" fillId="0" borderId="17" xfId="0" applyFont="1" applyBorder="1" applyAlignment="1">
      <alignment vertical="center" wrapText="1"/>
    </xf>
    <xf numFmtId="3" fontId="12" fillId="0" borderId="0" xfId="0" applyNumberFormat="1" applyFont="1" applyAlignment="1">
      <alignment vertical="center"/>
    </xf>
    <xf numFmtId="168" fontId="12" fillId="0" borderId="1" xfId="2" applyNumberFormat="1" applyFont="1" applyBorder="1" applyAlignment="1">
      <alignment vertical="center" wrapText="1"/>
    </xf>
    <xf numFmtId="0" fontId="12" fillId="0" borderId="34" xfId="0" applyFont="1" applyBorder="1" applyAlignment="1">
      <alignment vertical="center" wrapText="1"/>
    </xf>
    <xf numFmtId="167" fontId="12" fillId="0" borderId="1" xfId="2" applyNumberFormat="1" applyFont="1" applyBorder="1" applyAlignment="1">
      <alignment vertical="center" wrapText="1"/>
    </xf>
    <xf numFmtId="0" fontId="13" fillId="4" borderId="6" xfId="0" applyFont="1" applyFill="1" applyBorder="1" applyAlignment="1">
      <alignment horizontal="center" vertical="center" wrapText="1"/>
    </xf>
    <xf numFmtId="0" fontId="12"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1" xfId="0" applyFont="1" applyFill="1" applyBorder="1" applyAlignment="1">
      <alignment horizontal="left" vertical="center" wrapText="1"/>
    </xf>
    <xf numFmtId="3" fontId="13" fillId="4" borderId="1" xfId="2" applyNumberFormat="1" applyFont="1" applyFill="1" applyBorder="1" applyAlignment="1">
      <alignment horizontal="right" vertical="center" wrapText="1"/>
    </xf>
    <xf numFmtId="167" fontId="13" fillId="4" borderId="1" xfId="2" applyNumberFormat="1" applyFont="1" applyFill="1" applyBorder="1" applyAlignment="1">
      <alignment horizontal="right" vertical="center" wrapText="1"/>
    </xf>
    <xf numFmtId="167" fontId="13" fillId="4" borderId="1" xfId="2" applyNumberFormat="1" applyFont="1" applyFill="1" applyBorder="1" applyAlignment="1">
      <alignment horizontal="left" vertical="center" wrapText="1"/>
    </xf>
    <xf numFmtId="168" fontId="13" fillId="4" borderId="1" xfId="0" applyNumberFormat="1" applyFont="1" applyFill="1" applyBorder="1" applyAlignment="1">
      <alignment horizontal="left" vertical="center" wrapText="1"/>
    </xf>
    <xf numFmtId="168" fontId="13" fillId="4" borderId="1" xfId="0" applyNumberFormat="1" applyFont="1" applyFill="1" applyBorder="1" applyAlignment="1">
      <alignment vertical="center" wrapText="1"/>
    </xf>
    <xf numFmtId="0" fontId="16" fillId="5" borderId="6" xfId="0" applyFont="1" applyFill="1" applyBorder="1" applyAlignment="1">
      <alignment horizontal="center" vertical="center" wrapText="1"/>
    </xf>
    <xf numFmtId="3" fontId="16" fillId="5" borderId="1" xfId="0" applyNumberFormat="1" applyFont="1" applyFill="1" applyBorder="1" applyAlignment="1">
      <alignment horizontal="right" vertical="center" wrapText="1"/>
    </xf>
    <xf numFmtId="167" fontId="16" fillId="5" borderId="1" xfId="2" applyNumberFormat="1" applyFont="1" applyFill="1" applyBorder="1" applyAlignment="1">
      <alignment horizontal="right" vertical="center" wrapText="1"/>
    </xf>
    <xf numFmtId="0" fontId="24" fillId="2" borderId="0" xfId="0" applyFont="1" applyFill="1" applyAlignment="1">
      <alignment wrapText="1"/>
    </xf>
    <xf numFmtId="0" fontId="13" fillId="0" borderId="1" xfId="0" applyFont="1" applyBorder="1"/>
    <xf numFmtId="0" fontId="13" fillId="0" borderId="1" xfId="0" applyFont="1" applyBorder="1" applyAlignment="1">
      <alignment vertical="center"/>
    </xf>
    <xf numFmtId="0" fontId="13" fillId="0" borderId="3" xfId="0" applyFont="1" applyBorder="1" applyAlignment="1">
      <alignment vertical="center"/>
    </xf>
    <xf numFmtId="0" fontId="13" fillId="2" borderId="1" xfId="0" applyFont="1" applyFill="1" applyBorder="1" applyAlignment="1">
      <alignment horizontal="center" wrapText="1"/>
    </xf>
    <xf numFmtId="0" fontId="13" fillId="2" borderId="2" xfId="0" applyFont="1" applyFill="1" applyBorder="1" applyAlignment="1">
      <alignment horizontal="left" wrapText="1"/>
    </xf>
    <xf numFmtId="0" fontId="13" fillId="2" borderId="1" xfId="0" applyFont="1" applyFill="1" applyBorder="1" applyAlignment="1">
      <alignment horizontal="left" wrapText="1"/>
    </xf>
    <xf numFmtId="3" fontId="13" fillId="2" borderId="1" xfId="2" applyNumberFormat="1" applyFont="1" applyFill="1" applyBorder="1" applyAlignment="1">
      <alignment horizontal="right" vertical="center" wrapText="1"/>
    </xf>
    <xf numFmtId="167" fontId="13" fillId="2" borderId="1" xfId="2" applyNumberFormat="1" applyFont="1" applyFill="1" applyBorder="1" applyAlignment="1">
      <alignment horizontal="left" wrapText="1"/>
    </xf>
    <xf numFmtId="168" fontId="13" fillId="2" borderId="1" xfId="0" applyNumberFormat="1" applyFont="1" applyFill="1" applyBorder="1" applyAlignment="1">
      <alignment horizontal="left" wrapText="1"/>
    </xf>
    <xf numFmtId="0" fontId="13" fillId="2" borderId="1" xfId="0" applyFont="1" applyFill="1" applyBorder="1" applyAlignment="1">
      <alignment wrapText="1"/>
    </xf>
    <xf numFmtId="0" fontId="13" fillId="2" borderId="1" xfId="0" applyFont="1" applyFill="1" applyBorder="1" applyAlignment="1">
      <alignment horizontal="left"/>
    </xf>
    <xf numFmtId="3" fontId="12" fillId="2" borderId="1" xfId="2" applyNumberFormat="1" applyFont="1" applyFill="1" applyBorder="1" applyAlignment="1">
      <alignment vertical="center"/>
    </xf>
    <xf numFmtId="167" fontId="12" fillId="2" borderId="1" xfId="2" applyNumberFormat="1" applyFont="1" applyFill="1" applyBorder="1" applyAlignment="1">
      <alignment vertical="center"/>
    </xf>
    <xf numFmtId="3" fontId="12" fillId="2" borderId="1" xfId="2" applyNumberFormat="1" applyFont="1" applyFill="1" applyBorder="1" applyAlignment="1">
      <alignment vertical="center" wrapText="1"/>
    </xf>
    <xf numFmtId="3" fontId="13" fillId="2" borderId="1" xfId="2" applyNumberFormat="1" applyFont="1" applyFill="1" applyBorder="1" applyAlignment="1">
      <alignment horizontal="center" vertical="center" wrapText="1"/>
    </xf>
    <xf numFmtId="3" fontId="12" fillId="2" borderId="1" xfId="2" applyNumberFormat="1" applyFont="1" applyFill="1" applyBorder="1" applyAlignment="1">
      <alignment horizontal="right" vertical="center" wrapText="1"/>
    </xf>
    <xf numFmtId="0" fontId="16" fillId="11" borderId="3" xfId="0" applyFont="1" applyFill="1" applyBorder="1" applyAlignment="1">
      <alignment horizontal="left" vertical="center" wrapText="1"/>
    </xf>
    <xf numFmtId="0" fontId="13" fillId="11" borderId="1" xfId="0" applyFont="1" applyFill="1" applyBorder="1" applyAlignment="1">
      <alignment wrapText="1"/>
    </xf>
    <xf numFmtId="0" fontId="16" fillId="11" borderId="1" xfId="0" applyFont="1" applyFill="1" applyBorder="1" applyAlignment="1">
      <alignment vertical="center" wrapText="1"/>
    </xf>
    <xf numFmtId="0" fontId="16" fillId="11" borderId="2" xfId="0" applyFont="1" applyFill="1" applyBorder="1" applyAlignment="1">
      <alignment vertical="center" wrapText="1"/>
    </xf>
    <xf numFmtId="3" fontId="16" fillId="11" borderId="1" xfId="1" applyNumberFormat="1" applyFont="1" applyFill="1" applyBorder="1" applyAlignment="1">
      <alignment horizontal="right" vertical="center" wrapText="1"/>
    </xf>
    <xf numFmtId="167" fontId="16" fillId="11" borderId="1" xfId="2" applyNumberFormat="1" applyFont="1" applyFill="1" applyBorder="1" applyAlignment="1">
      <alignment horizontal="right" vertical="center" wrapText="1"/>
    </xf>
    <xf numFmtId="0" fontId="13" fillId="0" borderId="0" xfId="0" applyFont="1" applyAlignment="1">
      <alignment wrapText="1"/>
    </xf>
    <xf numFmtId="0" fontId="13" fillId="0" borderId="1" xfId="0" applyFont="1" applyBorder="1" applyAlignment="1">
      <alignment wrapText="1"/>
    </xf>
    <xf numFmtId="0" fontId="13" fillId="0" borderId="3" xfId="0" applyFont="1" applyBorder="1" applyAlignment="1">
      <alignment wrapText="1"/>
    </xf>
    <xf numFmtId="3" fontId="13" fillId="0" borderId="1" xfId="2" applyNumberFormat="1" applyFont="1" applyBorder="1" applyAlignment="1">
      <alignment horizontal="center" vertical="center" wrapText="1"/>
    </xf>
    <xf numFmtId="167" fontId="13" fillId="0" borderId="1" xfId="2" applyNumberFormat="1" applyFont="1" applyBorder="1" applyAlignment="1">
      <alignment horizontal="right" wrapText="1"/>
    </xf>
    <xf numFmtId="0" fontId="13" fillId="0" borderId="1" xfId="0" applyFont="1" applyBorder="1" applyAlignment="1">
      <alignment horizontal="right" wrapText="1"/>
    </xf>
    <xf numFmtId="167" fontId="12" fillId="0" borderId="1" xfId="2" applyNumberFormat="1" applyFont="1" applyBorder="1" applyAlignment="1">
      <alignment horizontal="right" wrapText="1"/>
    </xf>
    <xf numFmtId="166" fontId="12" fillId="0" borderId="1" xfId="0" applyNumberFormat="1" applyFont="1" applyBorder="1" applyAlignment="1">
      <alignment horizontal="right"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11" borderId="3" xfId="0" applyFont="1" applyFill="1" applyBorder="1" applyAlignment="1">
      <alignment horizontal="left" vertical="center" wrapText="1"/>
    </xf>
    <xf numFmtId="0" fontId="16" fillId="11" borderId="36" xfId="0" applyFont="1" applyFill="1" applyBorder="1" applyAlignment="1">
      <alignment vertical="center" wrapText="1"/>
    </xf>
    <xf numFmtId="0" fontId="13" fillId="0" borderId="2" xfId="0" applyFont="1" applyBorder="1" applyAlignment="1">
      <alignment horizontal="left" vertical="center" wrapText="1"/>
    </xf>
    <xf numFmtId="167" fontId="13" fillId="0" borderId="1" xfId="2" applyNumberFormat="1" applyFont="1" applyBorder="1" applyAlignment="1">
      <alignment horizontal="center" vertical="center" wrapText="1"/>
    </xf>
    <xf numFmtId="167" fontId="13" fillId="0" borderId="1" xfId="2" applyNumberFormat="1" applyFont="1" applyBorder="1" applyAlignment="1">
      <alignment horizontal="right" vertical="center" wrapText="1"/>
    </xf>
    <xf numFmtId="0" fontId="13" fillId="0" borderId="1" xfId="0" applyFont="1" applyBorder="1" applyAlignment="1">
      <alignment horizontal="right" vertical="center" wrapText="1"/>
    </xf>
    <xf numFmtId="0" fontId="13" fillId="0" borderId="0" xfId="0" applyFont="1" applyAlignment="1">
      <alignment vertical="center" wrapText="1"/>
    </xf>
    <xf numFmtId="0" fontId="12" fillId="0" borderId="3" xfId="0" applyFont="1" applyBorder="1" applyAlignment="1">
      <alignment wrapText="1"/>
    </xf>
    <xf numFmtId="0" fontId="13" fillId="8" borderId="0" xfId="0" applyFont="1" applyFill="1" applyAlignment="1">
      <alignment horizontal="left" wrapText="1"/>
    </xf>
    <xf numFmtId="0" fontId="13" fillId="8" borderId="0" xfId="0" applyFont="1" applyFill="1" applyAlignment="1">
      <alignment wrapText="1"/>
    </xf>
    <xf numFmtId="0" fontId="13" fillId="8" borderId="33" xfId="0" applyFont="1" applyFill="1" applyBorder="1" applyAlignment="1">
      <alignment horizontal="left" wrapText="1"/>
    </xf>
    <xf numFmtId="0" fontId="13" fillId="8" borderId="1" xfId="0" applyFont="1" applyFill="1" applyBorder="1" applyAlignment="1">
      <alignment wrapText="1"/>
    </xf>
    <xf numFmtId="3" fontId="13" fillId="8" borderId="1" xfId="2" applyNumberFormat="1" applyFont="1" applyFill="1" applyBorder="1" applyAlignment="1">
      <alignment horizontal="center" vertical="center" wrapText="1"/>
    </xf>
    <xf numFmtId="167" fontId="13" fillId="8" borderId="1" xfId="2" applyNumberFormat="1" applyFont="1" applyFill="1" applyBorder="1" applyAlignment="1">
      <alignment horizontal="right" wrapText="1"/>
    </xf>
    <xf numFmtId="0" fontId="13" fillId="8" borderId="1" xfId="0" applyFont="1" applyFill="1" applyBorder="1" applyAlignment="1">
      <alignment horizontal="right" wrapText="1"/>
    </xf>
    <xf numFmtId="0" fontId="12" fillId="0" borderId="0" xfId="0" applyFont="1" applyAlignment="1">
      <alignment horizontal="left" wrapText="1"/>
    </xf>
    <xf numFmtId="3" fontId="12" fillId="0" borderId="0" xfId="2" applyNumberFormat="1" applyFont="1" applyAlignment="1">
      <alignment horizontal="center" vertical="center" wrapText="1"/>
    </xf>
    <xf numFmtId="167" fontId="12" fillId="0" borderId="0" xfId="2" applyNumberFormat="1" applyFont="1" applyAlignment="1">
      <alignment horizontal="right" wrapText="1"/>
    </xf>
    <xf numFmtId="0" fontId="12" fillId="0" borderId="0" xfId="0" applyFont="1" applyAlignment="1">
      <alignment horizontal="right" wrapText="1"/>
    </xf>
    <xf numFmtId="167" fontId="12" fillId="0" borderId="6" xfId="2" applyNumberFormat="1" applyFont="1" applyBorder="1" applyAlignment="1">
      <alignment horizontal="center" vertical="center" wrapText="1"/>
    </xf>
    <xf numFmtId="167" fontId="13" fillId="4" borderId="1" xfId="2" applyNumberFormat="1" applyFont="1" applyFill="1" applyBorder="1" applyAlignment="1">
      <alignment horizontal="center" vertical="center" wrapText="1"/>
    </xf>
    <xf numFmtId="167" fontId="16" fillId="5" borderId="6" xfId="2" applyNumberFormat="1" applyFont="1" applyFill="1" applyBorder="1" applyAlignment="1">
      <alignment horizontal="center" vertical="center"/>
    </xf>
    <xf numFmtId="167" fontId="13" fillId="4" borderId="6" xfId="2" applyNumberFormat="1" applyFont="1" applyFill="1" applyBorder="1" applyAlignment="1">
      <alignment horizontal="center" vertical="center" wrapText="1"/>
    </xf>
    <xf numFmtId="167" fontId="13" fillId="8" borderId="1" xfId="2" applyNumberFormat="1" applyFont="1" applyFill="1" applyBorder="1" applyAlignment="1">
      <alignment horizontal="center" vertical="center" wrapText="1"/>
    </xf>
    <xf numFmtId="167" fontId="12" fillId="0" borderId="0" xfId="2" applyNumberFormat="1" applyFont="1" applyAlignment="1">
      <alignment horizontal="center" vertical="center" wrapText="1"/>
    </xf>
    <xf numFmtId="3" fontId="16" fillId="5" borderId="1" xfId="1" applyNumberFormat="1" applyFont="1" applyFill="1" applyBorder="1" applyAlignment="1">
      <alignment horizontal="center" vertical="center" wrapText="1"/>
    </xf>
    <xf numFmtId="3" fontId="16" fillId="11" borderId="1" xfId="1" applyNumberFormat="1" applyFont="1" applyFill="1" applyBorder="1" applyAlignment="1">
      <alignment horizontal="center" vertical="center" wrapText="1"/>
    </xf>
    <xf numFmtId="167" fontId="16" fillId="11" borderId="1" xfId="2" applyNumberFormat="1" applyFont="1" applyFill="1" applyBorder="1" applyAlignment="1">
      <alignment horizontal="center" vertical="center" wrapText="1"/>
    </xf>
    <xf numFmtId="167" fontId="12" fillId="0" borderId="1" xfId="2" applyNumberFormat="1" applyFont="1" applyBorder="1" applyAlignment="1">
      <alignment horizontal="right" vertical="center" wrapText="1"/>
    </xf>
    <xf numFmtId="3" fontId="12" fillId="0" borderId="1" xfId="2" applyNumberFormat="1" applyFont="1" applyBorder="1" applyAlignment="1">
      <alignment horizontal="right" vertical="center" wrapText="1"/>
    </xf>
    <xf numFmtId="3" fontId="12" fillId="0" borderId="1" xfId="0" applyNumberFormat="1" applyFont="1" applyBorder="1" applyAlignment="1">
      <alignment horizontal="right" vertical="center"/>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12" fillId="0" borderId="7" xfId="0" applyFont="1" applyBorder="1" applyAlignment="1">
      <alignment vertical="center" wrapText="1"/>
    </xf>
    <xf numFmtId="0" fontId="12" fillId="0" borderId="31" xfId="0" applyFont="1" applyBorder="1" applyAlignment="1">
      <alignment vertical="center" wrapText="1"/>
    </xf>
    <xf numFmtId="3" fontId="18" fillId="0" borderId="4" xfId="2" applyNumberFormat="1" applyFont="1" applyFill="1" applyBorder="1" applyAlignment="1">
      <alignment horizontal="center" vertical="center" wrapText="1"/>
    </xf>
    <xf numFmtId="3" fontId="18" fillId="0" borderId="5" xfId="2" applyNumberFormat="1" applyFont="1" applyFill="1" applyBorder="1" applyAlignment="1">
      <alignment horizontal="center" vertical="center" wrapText="1"/>
    </xf>
    <xf numFmtId="0" fontId="16" fillId="5" borderId="3" xfId="0" applyFont="1" applyFill="1" applyBorder="1" applyAlignment="1">
      <alignment horizontal="left" wrapText="1"/>
    </xf>
    <xf numFmtId="0" fontId="16" fillId="5" borderId="6" xfId="0" applyFont="1" applyFill="1" applyBorder="1" applyAlignment="1">
      <alignment horizontal="left"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167" fontId="17" fillId="0" borderId="4" xfId="2" applyNumberFormat="1" applyFont="1" applyFill="1" applyBorder="1" applyAlignment="1">
      <alignment horizontal="center" vertical="center" wrapText="1"/>
    </xf>
    <xf numFmtId="167" fontId="17" fillId="0" borderId="5" xfId="2" applyNumberFormat="1"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31" xfId="0" applyFont="1" applyBorder="1" applyAlignment="1">
      <alignment horizontal="left" vertical="center" wrapText="1"/>
    </xf>
    <xf numFmtId="0" fontId="13" fillId="0" borderId="1" xfId="0" applyFont="1" applyBorder="1" applyAlignment="1">
      <alignment horizontal="center" vertical="center" wrapText="1"/>
    </xf>
    <xf numFmtId="0" fontId="13" fillId="4" borderId="1" xfId="0" applyFont="1" applyFill="1" applyBorder="1" applyAlignment="1">
      <alignment horizontal="center" wrapText="1"/>
    </xf>
    <xf numFmtId="0" fontId="13" fillId="11" borderId="1"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0" borderId="35" xfId="0" applyFont="1" applyBorder="1" applyAlignment="1">
      <alignment horizontal="left" vertical="center" wrapText="1"/>
    </xf>
    <xf numFmtId="0" fontId="16" fillId="5" borderId="3"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2" borderId="15" xfId="0" applyFont="1" applyFill="1" applyBorder="1" applyAlignment="1">
      <alignment vertical="center" wrapText="1"/>
    </xf>
    <xf numFmtId="0" fontId="12" fillId="2" borderId="5" xfId="0" applyFont="1" applyFill="1" applyBorder="1" applyAlignment="1">
      <alignment vertical="center" wrapText="1"/>
    </xf>
    <xf numFmtId="0" fontId="16" fillId="5" borderId="2" xfId="0" applyFont="1" applyFill="1" applyBorder="1" applyAlignment="1">
      <alignment horizontal="left" wrapText="1"/>
    </xf>
    <xf numFmtId="0" fontId="12" fillId="2" borderId="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6" fillId="5"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3" fillId="0" borderId="1" xfId="0" applyFont="1" applyBorder="1" applyAlignment="1">
      <alignment vertical="center" wrapText="1"/>
    </xf>
    <xf numFmtId="0" fontId="20" fillId="0" borderId="15" xfId="0" applyFont="1" applyBorder="1" applyAlignment="1">
      <alignment vertical="center" wrapText="1"/>
    </xf>
    <xf numFmtId="3" fontId="13" fillId="0" borderId="4" xfId="2" applyNumberFormat="1" applyFont="1" applyFill="1" applyBorder="1" applyAlignment="1">
      <alignment horizontal="center" vertical="center" wrapText="1"/>
    </xf>
    <xf numFmtId="3" fontId="13" fillId="0" borderId="5" xfId="2" applyNumberFormat="1" applyFont="1" applyFill="1" applyBorder="1" applyAlignment="1">
      <alignment horizontal="center" vertical="center" wrapText="1"/>
    </xf>
    <xf numFmtId="167" fontId="13" fillId="0" borderId="4" xfId="2" applyNumberFormat="1" applyFont="1" applyFill="1" applyBorder="1" applyAlignment="1">
      <alignment horizontal="center" vertical="center" wrapText="1"/>
    </xf>
    <xf numFmtId="167" fontId="13" fillId="0" borderId="5" xfId="2"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3" fontId="17" fillId="0" borderId="4" xfId="2" applyNumberFormat="1" applyFont="1" applyFill="1" applyBorder="1" applyAlignment="1">
      <alignment horizontal="center" vertical="center" wrapText="1"/>
    </xf>
    <xf numFmtId="3" fontId="17" fillId="0" borderId="5" xfId="2"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14" fillId="0" borderId="6" xfId="0" applyFont="1" applyBorder="1" applyAlignment="1">
      <alignment horizontal="left" wrapText="1"/>
    </xf>
    <xf numFmtId="0" fontId="14" fillId="0" borderId="2" xfId="0" applyFont="1" applyBorder="1" applyAlignment="1">
      <alignment horizontal="left" wrapText="1"/>
    </xf>
    <xf numFmtId="0" fontId="13" fillId="0" borderId="3" xfId="0" applyFont="1" applyBorder="1" applyAlignment="1">
      <alignment horizontal="left" wrapText="1"/>
    </xf>
    <xf numFmtId="0" fontId="13" fillId="0" borderId="2" xfId="0" applyFont="1" applyBorder="1" applyAlignment="1">
      <alignment horizontal="left" wrapText="1"/>
    </xf>
    <xf numFmtId="0" fontId="12" fillId="0" borderId="3" xfId="0" applyFont="1" applyBorder="1" applyAlignment="1">
      <alignment horizontal="left" wrapText="1"/>
    </xf>
    <xf numFmtId="0" fontId="12" fillId="0" borderId="6"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center" wrapText="1"/>
    </xf>
    <xf numFmtId="0" fontId="12" fillId="0" borderId="6" xfId="0" applyFont="1" applyBorder="1" applyAlignment="1">
      <alignment horizontal="center" wrapText="1"/>
    </xf>
    <xf numFmtId="0" fontId="12" fillId="0" borderId="2" xfId="0" applyFont="1" applyBorder="1" applyAlignment="1">
      <alignment horizontal="center" wrapText="1"/>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19"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4" fillId="0" borderId="0" xfId="0" applyFont="1" applyAlignment="1">
      <alignment horizontal="center"/>
    </xf>
    <xf numFmtId="169" fontId="0" fillId="0" borderId="0" xfId="0" applyNumberFormat="1" applyAlignment="1">
      <alignment horizontal="center" vertical="center"/>
    </xf>
    <xf numFmtId="169" fontId="0" fillId="0" borderId="0" xfId="7" applyNumberFormat="1" applyFont="1"/>
  </cellXfs>
  <cellStyles count="10">
    <cellStyle name="Milliers" xfId="2" builtinId="3"/>
    <cellStyle name="Milliers [0]" xfId="1" builtinId="6"/>
    <cellStyle name="Milliers [0] 2" xfId="9"/>
    <cellStyle name="Milliers 2" xfId="5"/>
    <cellStyle name="Milliers 3" xfId="8"/>
    <cellStyle name="Normal" xfId="0" builtinId="0"/>
    <cellStyle name="Normal 2" xfId="6"/>
    <cellStyle name="Normal 2 2" xfId="4"/>
    <cellStyle name="Normal 3" xfId="3"/>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Bahly Maud-Andree Kouadio IV" id="{791E6347-FE68-4769-94FE-1B7114256DEA}" userId="S::mkouadio@worldbank.org::4a944047-a79d-4dba-a8c9-0ced44152f0c"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3-03-29T17:35:54.91" personId="{791E6347-FE68-4769-94FE-1B7114256DEA}" id="{6ED30518-2CF3-48E0-818E-87B9F9131D2D}">
    <text>combien de mission a peu pres?</text>
  </threadedComment>
  <threadedComment ref="V144" dT="2023-03-29T17:59:13.35" personId="{791E6347-FE68-4769-94FE-1B7114256DEA}" id="{6101B937-B840-4389-8B49-F68DC382404C}">
    <text>repartir les couts par activites</text>
  </threadedComment>
  <threadedComment ref="V151" dT="2023-03-29T17:59:31.89" personId="{791E6347-FE68-4769-94FE-1B7114256DEA}" id="{EC3EAFA3-4F6B-42D9-866D-1D593B9ED4CA}">
    <text>repartir les couts par activitesrepartir les couts par activites</text>
  </threadedComment>
  <threadedComment ref="V159" dT="2023-03-29T18:02:19.18" personId="{791E6347-FE68-4769-94FE-1B7114256DEA}" id="{0D5EA2AD-3C70-47C6-BD27-F5135F032449}">
    <text>repartir les couts par activites</text>
  </threadedComment>
  <threadedComment ref="V166" dT="2023-03-29T18:01:02.54" personId="{791E6347-FE68-4769-94FE-1B7114256DEA}" id="{511F019E-B930-4C89-B529-0586A78AF302}">
    <text>repartir les couts par activites</text>
  </threadedComment>
  <threadedComment ref="V171" dT="2023-03-29T18:01:06.94" personId="{791E6347-FE68-4769-94FE-1B7114256DEA}" id="{9BE7A121-D368-4BA3-8642-B4D76000F547}">
    <text>repartir les couts par activites</text>
  </threadedComment>
  <threadedComment ref="V179" dT="2023-03-29T18:01:11.97" personId="{791E6347-FE68-4769-94FE-1B7114256DEA}" id="{7D5865B9-133B-4053-BB68-D6A4BE039568}">
    <text>repartir les couts par activites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3"/>
  <sheetViews>
    <sheetView topLeftCell="A176" zoomScale="120" zoomScaleNormal="120" zoomScaleSheetLayoutView="110" workbookViewId="0">
      <pane xSplit="1" topLeftCell="M1" activePane="topRight" state="frozen"/>
      <selection activeCell="A10" sqref="A10"/>
      <selection pane="topRight" activeCell="W183" sqref="W183"/>
    </sheetView>
  </sheetViews>
  <sheetFormatPr baseColWidth="10" defaultColWidth="9.1796875" defaultRowHeight="14" x14ac:dyDescent="0.3"/>
  <cols>
    <col min="1" max="1" width="28" style="313" customWidth="1"/>
    <col min="2" max="2" width="35.54296875" style="46" customWidth="1"/>
    <col min="3" max="3" width="23.7265625" style="46" customWidth="1"/>
    <col min="4" max="4" width="1.7265625" style="46" customWidth="1"/>
    <col min="5" max="7" width="2.26953125" style="46" customWidth="1"/>
    <col min="8" max="8" width="1.7265625" style="46" customWidth="1"/>
    <col min="9" max="11" width="2.26953125" style="46" customWidth="1"/>
    <col min="12" max="12" width="1.7265625" style="46" customWidth="1"/>
    <col min="13" max="15" width="2.26953125" style="46" customWidth="1"/>
    <col min="16" max="16" width="1.7265625" style="46" customWidth="1"/>
    <col min="17" max="18" width="2.26953125" style="46" customWidth="1"/>
    <col min="19" max="19" width="2.7265625" style="46" customWidth="1"/>
    <col min="20" max="20" width="39.54296875" style="313" customWidth="1"/>
    <col min="21" max="21" width="11" style="46" customWidth="1"/>
    <col min="22" max="22" width="11.453125" style="314" customWidth="1"/>
    <col min="23" max="23" width="18.1796875" style="322" customWidth="1"/>
    <col min="24" max="24" width="12.453125" style="315" customWidth="1"/>
    <col min="25" max="25" width="11.1796875" style="316" customWidth="1"/>
    <col min="26" max="26" width="16.7265625" style="46" customWidth="1"/>
    <col min="27" max="27" width="12.453125" style="46" bestFit="1" customWidth="1"/>
    <col min="28" max="33" width="9.1796875" style="1"/>
    <col min="34" max="16384" width="9.1796875" style="2"/>
  </cols>
  <sheetData>
    <row r="1" spans="1:33" x14ac:dyDescent="0.3">
      <c r="A1" s="388" t="s">
        <v>0</v>
      </c>
      <c r="B1" s="389"/>
      <c r="C1" s="43"/>
      <c r="D1" s="44"/>
      <c r="E1" s="45"/>
      <c r="F1" s="390" t="s">
        <v>1</v>
      </c>
      <c r="G1" s="391"/>
      <c r="H1" s="391"/>
      <c r="I1" s="391"/>
      <c r="J1" s="391"/>
      <c r="K1" s="391"/>
      <c r="L1" s="391"/>
      <c r="M1" s="391"/>
      <c r="N1" s="391"/>
      <c r="O1" s="391"/>
      <c r="P1" s="391"/>
      <c r="Q1" s="391"/>
      <c r="R1" s="391"/>
      <c r="S1" s="391"/>
      <c r="T1" s="391"/>
      <c r="U1" s="391"/>
      <c r="V1" s="391"/>
      <c r="W1" s="391"/>
      <c r="X1" s="391"/>
      <c r="Y1" s="391"/>
      <c r="Z1" s="392"/>
    </row>
    <row r="2" spans="1:33" x14ac:dyDescent="0.3">
      <c r="A2" s="388" t="s">
        <v>2</v>
      </c>
      <c r="B2" s="389"/>
      <c r="C2" s="43"/>
      <c r="D2" s="44"/>
      <c r="E2" s="393" t="s">
        <v>3</v>
      </c>
      <c r="F2" s="394"/>
      <c r="G2" s="394"/>
      <c r="H2" s="394"/>
      <c r="I2" s="394"/>
      <c r="J2" s="394"/>
      <c r="K2" s="394"/>
      <c r="L2" s="394"/>
      <c r="M2" s="394"/>
      <c r="N2" s="394"/>
      <c r="O2" s="394"/>
      <c r="P2" s="394"/>
      <c r="Q2" s="394"/>
      <c r="R2" s="394"/>
      <c r="S2" s="394"/>
      <c r="T2" s="394"/>
      <c r="U2" s="394"/>
      <c r="V2" s="394"/>
      <c r="W2" s="394"/>
      <c r="X2" s="394"/>
      <c r="Y2" s="394"/>
      <c r="Z2" s="395"/>
    </row>
    <row r="3" spans="1:33" x14ac:dyDescent="0.3">
      <c r="A3" s="47"/>
      <c r="B3" s="43" t="s">
        <v>3</v>
      </c>
      <c r="C3" s="43"/>
      <c r="D3" s="44"/>
      <c r="E3" s="48"/>
      <c r="F3" s="49"/>
      <c r="G3" s="49"/>
      <c r="H3" s="49"/>
      <c r="I3" s="49"/>
      <c r="J3" s="49"/>
      <c r="K3" s="49"/>
      <c r="L3" s="49"/>
      <c r="M3" s="49"/>
      <c r="N3" s="49"/>
      <c r="O3" s="49"/>
      <c r="P3" s="49"/>
      <c r="Q3" s="49"/>
      <c r="R3" s="49"/>
      <c r="S3" s="49"/>
      <c r="T3" s="49"/>
      <c r="U3" s="49"/>
      <c r="V3" s="50"/>
      <c r="W3" s="317"/>
      <c r="X3" s="49"/>
      <c r="Y3" s="49"/>
      <c r="Z3" s="51"/>
    </row>
    <row r="4" spans="1:33" x14ac:dyDescent="0.3">
      <c r="A4" s="47"/>
      <c r="B4" s="43"/>
      <c r="C4" s="43"/>
      <c r="D4" s="44"/>
      <c r="E4" s="52"/>
      <c r="F4" s="386" t="s">
        <v>1</v>
      </c>
      <c r="G4" s="386"/>
      <c r="H4" s="386"/>
      <c r="I4" s="386"/>
      <c r="J4" s="386"/>
      <c r="K4" s="386"/>
      <c r="L4" s="386"/>
      <c r="M4" s="386"/>
      <c r="N4" s="386"/>
      <c r="O4" s="386"/>
      <c r="P4" s="386"/>
      <c r="Q4" s="386"/>
      <c r="R4" s="386"/>
      <c r="S4" s="386"/>
      <c r="T4" s="386"/>
      <c r="U4" s="386"/>
      <c r="V4" s="386"/>
      <c r="W4" s="386"/>
      <c r="X4" s="386"/>
      <c r="Y4" s="386"/>
      <c r="Z4" s="387"/>
    </row>
    <row r="5" spans="1:33" x14ac:dyDescent="0.3">
      <c r="A5" s="388" t="s">
        <v>4</v>
      </c>
      <c r="B5" s="389"/>
      <c r="C5" s="43"/>
      <c r="D5" s="44"/>
      <c r="E5" s="53"/>
      <c r="F5" s="390" t="s">
        <v>5</v>
      </c>
      <c r="G5" s="391"/>
      <c r="H5" s="391"/>
      <c r="I5" s="391"/>
      <c r="J5" s="391"/>
      <c r="K5" s="391"/>
      <c r="L5" s="391"/>
      <c r="M5" s="391"/>
      <c r="N5" s="391"/>
      <c r="O5" s="391"/>
      <c r="P5" s="391"/>
      <c r="Q5" s="391"/>
      <c r="R5" s="391"/>
      <c r="S5" s="391"/>
      <c r="T5" s="391"/>
      <c r="U5" s="391"/>
      <c r="V5" s="391"/>
      <c r="W5" s="391"/>
      <c r="X5" s="391"/>
      <c r="Y5" s="391"/>
      <c r="Z5" s="392"/>
    </row>
    <row r="6" spans="1:33" x14ac:dyDescent="0.3">
      <c r="A6" s="388" t="s">
        <v>343</v>
      </c>
      <c r="B6" s="389"/>
      <c r="C6" s="43"/>
      <c r="D6" s="44"/>
      <c r="E6" s="393"/>
      <c r="F6" s="394"/>
      <c r="G6" s="394"/>
      <c r="H6" s="394"/>
      <c r="I6" s="394"/>
      <c r="J6" s="394"/>
      <c r="K6" s="394"/>
      <c r="L6" s="394"/>
      <c r="M6" s="394"/>
      <c r="N6" s="394"/>
      <c r="O6" s="394"/>
      <c r="P6" s="394"/>
      <c r="Q6" s="394"/>
      <c r="R6" s="394"/>
      <c r="S6" s="394"/>
      <c r="T6" s="394"/>
      <c r="U6" s="394"/>
      <c r="V6" s="394"/>
      <c r="W6" s="394"/>
      <c r="X6" s="394"/>
      <c r="Y6" s="394"/>
      <c r="Z6" s="395"/>
    </row>
    <row r="7" spans="1:33" s="4" customFormat="1" ht="13" x14ac:dyDescent="0.35">
      <c r="A7" s="366" t="s">
        <v>6</v>
      </c>
      <c r="B7" s="402" t="s">
        <v>7</v>
      </c>
      <c r="C7" s="404" t="s">
        <v>8</v>
      </c>
      <c r="D7" s="54"/>
      <c r="E7" s="398" t="s">
        <v>9</v>
      </c>
      <c r="F7" s="399"/>
      <c r="G7" s="400"/>
      <c r="H7" s="55"/>
      <c r="I7" s="398" t="s">
        <v>10</v>
      </c>
      <c r="J7" s="399"/>
      <c r="K7" s="400"/>
      <c r="L7" s="55"/>
      <c r="M7" s="398" t="s">
        <v>11</v>
      </c>
      <c r="N7" s="399"/>
      <c r="O7" s="400"/>
      <c r="P7" s="55"/>
      <c r="Q7" s="398" t="s">
        <v>12</v>
      </c>
      <c r="R7" s="399"/>
      <c r="S7" s="400"/>
      <c r="T7" s="366" t="s">
        <v>13</v>
      </c>
      <c r="U7" s="379" t="s">
        <v>14</v>
      </c>
      <c r="V7" s="375" t="s">
        <v>15</v>
      </c>
      <c r="W7" s="377" t="s">
        <v>16</v>
      </c>
      <c r="X7" s="377" t="s">
        <v>17</v>
      </c>
      <c r="Y7" s="379" t="s">
        <v>18</v>
      </c>
      <c r="Z7" s="406" t="s">
        <v>19</v>
      </c>
      <c r="AA7" s="56"/>
      <c r="AB7" s="3"/>
      <c r="AC7" s="3"/>
      <c r="AD7" s="3"/>
      <c r="AE7" s="3"/>
      <c r="AF7" s="3"/>
      <c r="AG7" s="3"/>
    </row>
    <row r="8" spans="1:33" s="4" customFormat="1" ht="31.9" customHeight="1" x14ac:dyDescent="0.25">
      <c r="A8" s="368"/>
      <c r="B8" s="403"/>
      <c r="C8" s="405"/>
      <c r="D8" s="57"/>
      <c r="E8" s="58" t="s">
        <v>20</v>
      </c>
      <c r="F8" s="58" t="s">
        <v>21</v>
      </c>
      <c r="G8" s="58" t="s">
        <v>22</v>
      </c>
      <c r="H8" s="57"/>
      <c r="I8" s="58" t="s">
        <v>23</v>
      </c>
      <c r="J8" s="58" t="s">
        <v>22</v>
      </c>
      <c r="K8" s="58" t="s">
        <v>20</v>
      </c>
      <c r="L8" s="57"/>
      <c r="M8" s="58" t="s">
        <v>20</v>
      </c>
      <c r="N8" s="58" t="s">
        <v>23</v>
      </c>
      <c r="O8" s="58" t="s">
        <v>24</v>
      </c>
      <c r="P8" s="57"/>
      <c r="Q8" s="58" t="s">
        <v>25</v>
      </c>
      <c r="R8" s="58" t="s">
        <v>26</v>
      </c>
      <c r="S8" s="58" t="s">
        <v>27</v>
      </c>
      <c r="T8" s="368"/>
      <c r="U8" s="380"/>
      <c r="V8" s="376"/>
      <c r="W8" s="378"/>
      <c r="X8" s="378"/>
      <c r="Y8" s="380"/>
      <c r="Z8" s="407"/>
      <c r="AA8" s="56"/>
      <c r="AB8" s="3"/>
      <c r="AC8" s="3"/>
      <c r="AD8" s="3"/>
      <c r="AE8" s="3"/>
      <c r="AF8" s="3"/>
      <c r="AG8" s="3"/>
    </row>
    <row r="9" spans="1:33" x14ac:dyDescent="0.3">
      <c r="A9" s="59" t="s">
        <v>28</v>
      </c>
      <c r="B9" s="60"/>
      <c r="C9" s="61"/>
      <c r="D9" s="61"/>
      <c r="E9" s="62"/>
      <c r="F9" s="62"/>
      <c r="G9" s="62"/>
      <c r="H9" s="62"/>
      <c r="I9" s="62"/>
      <c r="J9" s="62"/>
      <c r="K9" s="62"/>
      <c r="L9" s="62"/>
      <c r="M9" s="62"/>
      <c r="N9" s="62"/>
      <c r="O9" s="62"/>
      <c r="P9" s="62"/>
      <c r="Q9" s="62"/>
      <c r="R9" s="62"/>
      <c r="S9" s="62"/>
      <c r="T9" s="63"/>
      <c r="U9" s="62"/>
      <c r="V9" s="64">
        <f>+V10</f>
        <v>509437.78399999999</v>
      </c>
      <c r="W9" s="318">
        <f>+V9*500</f>
        <v>254718892</v>
      </c>
      <c r="X9" s="65"/>
      <c r="Y9" s="66"/>
      <c r="Z9" s="62"/>
      <c r="AA9" s="67"/>
    </row>
    <row r="10" spans="1:33" s="6" customFormat="1" ht="26.65" customHeight="1" thickBot="1" x14ac:dyDescent="0.4">
      <c r="A10" s="396" t="s">
        <v>29</v>
      </c>
      <c r="B10" s="397"/>
      <c r="C10" s="68"/>
      <c r="D10" s="69"/>
      <c r="E10" s="70"/>
      <c r="F10" s="70"/>
      <c r="G10" s="70"/>
      <c r="H10" s="70"/>
      <c r="I10" s="70"/>
      <c r="J10" s="70"/>
      <c r="K10" s="70"/>
      <c r="L10" s="70"/>
      <c r="M10" s="70"/>
      <c r="N10" s="70"/>
      <c r="O10" s="70"/>
      <c r="P10" s="70"/>
      <c r="Q10" s="70"/>
      <c r="R10" s="70"/>
      <c r="S10" s="70"/>
      <c r="T10" s="71"/>
      <c r="U10" s="70"/>
      <c r="V10" s="72">
        <f>+SUM(V11:V34)</f>
        <v>509437.78399999999</v>
      </c>
      <c r="W10" s="73">
        <f>+V10*500</f>
        <v>254718892</v>
      </c>
      <c r="X10" s="74"/>
      <c r="Y10" s="74"/>
      <c r="Z10" s="70"/>
      <c r="AA10" s="56"/>
      <c r="AB10" s="5"/>
      <c r="AC10" s="5"/>
      <c r="AD10" s="5"/>
      <c r="AE10" s="5"/>
      <c r="AF10" s="5"/>
      <c r="AG10" s="5"/>
    </row>
    <row r="11" spans="1:33" s="6" customFormat="1" x14ac:dyDescent="0.25">
      <c r="A11" s="401" t="s">
        <v>344</v>
      </c>
      <c r="B11" s="75" t="s">
        <v>30</v>
      </c>
      <c r="C11" s="76"/>
      <c r="D11" s="57"/>
      <c r="E11" s="77" t="s">
        <v>31</v>
      </c>
      <c r="F11" s="77" t="s">
        <v>31</v>
      </c>
      <c r="G11" s="77" t="s">
        <v>31</v>
      </c>
      <c r="H11" s="57"/>
      <c r="I11" s="77" t="s">
        <v>31</v>
      </c>
      <c r="J11" s="77" t="s">
        <v>31</v>
      </c>
      <c r="K11" s="77" t="s">
        <v>31</v>
      </c>
      <c r="L11" s="57"/>
      <c r="M11" s="77" t="s">
        <v>31</v>
      </c>
      <c r="N11" s="77" t="s">
        <v>31</v>
      </c>
      <c r="O11" s="77" t="s">
        <v>31</v>
      </c>
      <c r="P11" s="57"/>
      <c r="Q11" s="77" t="s">
        <v>31</v>
      </c>
      <c r="R11" s="77" t="s">
        <v>31</v>
      </c>
      <c r="S11" s="77" t="s">
        <v>31</v>
      </c>
      <c r="T11" s="78" t="s">
        <v>32</v>
      </c>
      <c r="U11" s="79"/>
      <c r="V11" s="80">
        <f>+(1739110+1501109+1073045+1232159+314068)*0.024</f>
        <v>140627.78400000001</v>
      </c>
      <c r="W11" s="81">
        <f>+V11*500</f>
        <v>70313892</v>
      </c>
      <c r="X11" s="82"/>
      <c r="Y11" s="83"/>
      <c r="Z11" s="331" t="s">
        <v>33</v>
      </c>
      <c r="AA11" s="56"/>
      <c r="AB11" s="5"/>
      <c r="AC11" s="5"/>
      <c r="AD11" s="5"/>
      <c r="AE11" s="5"/>
      <c r="AF11" s="5"/>
      <c r="AG11" s="5"/>
    </row>
    <row r="12" spans="1:33" s="6" customFormat="1" x14ac:dyDescent="0.25">
      <c r="A12" s="344"/>
      <c r="B12" s="75" t="s">
        <v>34</v>
      </c>
      <c r="C12" s="76"/>
      <c r="D12" s="57"/>
      <c r="E12" s="77" t="s">
        <v>31</v>
      </c>
      <c r="F12" s="77" t="s">
        <v>31</v>
      </c>
      <c r="G12" s="77" t="s">
        <v>31</v>
      </c>
      <c r="H12" s="57"/>
      <c r="I12" s="77" t="s">
        <v>31</v>
      </c>
      <c r="J12" s="77" t="s">
        <v>31</v>
      </c>
      <c r="K12" s="77" t="s">
        <v>31</v>
      </c>
      <c r="L12" s="57"/>
      <c r="M12" s="77" t="s">
        <v>31</v>
      </c>
      <c r="N12" s="77" t="s">
        <v>31</v>
      </c>
      <c r="O12" s="77" t="s">
        <v>31</v>
      </c>
      <c r="P12" s="57"/>
      <c r="Q12" s="77" t="s">
        <v>31</v>
      </c>
      <c r="R12" s="77" t="s">
        <v>31</v>
      </c>
      <c r="S12" s="77" t="s">
        <v>31</v>
      </c>
      <c r="T12" s="78" t="s">
        <v>35</v>
      </c>
      <c r="U12" s="79"/>
      <c r="V12" s="80">
        <f>100000*4*0.024</f>
        <v>9600</v>
      </c>
      <c r="W12" s="81">
        <f t="shared" ref="W12:W13" si="0">+V12*500</f>
        <v>4800000</v>
      </c>
      <c r="X12" s="82"/>
      <c r="Y12" s="83"/>
      <c r="Z12" s="332"/>
      <c r="AA12" s="56"/>
      <c r="AB12" s="5"/>
      <c r="AC12" s="5"/>
      <c r="AD12" s="5"/>
      <c r="AE12" s="5"/>
      <c r="AF12" s="5"/>
      <c r="AG12" s="5"/>
    </row>
    <row r="13" spans="1:33" s="6" customFormat="1" ht="27.65" customHeight="1" x14ac:dyDescent="0.25">
      <c r="A13" s="344"/>
      <c r="B13" s="75" t="s">
        <v>341</v>
      </c>
      <c r="C13" s="76"/>
      <c r="D13" s="57"/>
      <c r="E13" s="77" t="s">
        <v>31</v>
      </c>
      <c r="F13" s="77" t="s">
        <v>31</v>
      </c>
      <c r="G13" s="77" t="s">
        <v>31</v>
      </c>
      <c r="H13" s="57"/>
      <c r="I13" s="77" t="s">
        <v>31</v>
      </c>
      <c r="J13" s="77" t="s">
        <v>31</v>
      </c>
      <c r="K13" s="77" t="s">
        <v>31</v>
      </c>
      <c r="L13" s="57"/>
      <c r="M13" s="77" t="s">
        <v>31</v>
      </c>
      <c r="N13" s="77" t="s">
        <v>31</v>
      </c>
      <c r="O13" s="77" t="s">
        <v>31</v>
      </c>
      <c r="P13" s="57"/>
      <c r="Q13" s="77" t="s">
        <v>31</v>
      </c>
      <c r="R13" s="77" t="s">
        <v>31</v>
      </c>
      <c r="S13" s="77" t="s">
        <v>31</v>
      </c>
      <c r="T13" s="78" t="s">
        <v>342</v>
      </c>
      <c r="U13" s="79"/>
      <c r="V13" s="84">
        <f>30000000/500</f>
        <v>60000</v>
      </c>
      <c r="W13" s="81">
        <f t="shared" si="0"/>
        <v>30000000</v>
      </c>
      <c r="X13" s="82"/>
      <c r="Y13" s="85"/>
      <c r="Z13" s="332"/>
      <c r="AA13" s="56"/>
      <c r="AB13" s="5"/>
      <c r="AC13" s="5"/>
      <c r="AD13" s="5"/>
      <c r="AE13" s="5"/>
      <c r="AF13" s="5"/>
      <c r="AG13" s="5"/>
    </row>
    <row r="14" spans="1:33" s="6" customFormat="1" x14ac:dyDescent="0.25">
      <c r="A14" s="345"/>
      <c r="B14" s="75" t="s">
        <v>36</v>
      </c>
      <c r="C14" s="76"/>
      <c r="D14" s="57"/>
      <c r="E14" s="77" t="s">
        <v>31</v>
      </c>
      <c r="F14" s="77" t="s">
        <v>31</v>
      </c>
      <c r="G14" s="77" t="s">
        <v>31</v>
      </c>
      <c r="H14" s="57"/>
      <c r="I14" s="77" t="s">
        <v>31</v>
      </c>
      <c r="J14" s="77" t="s">
        <v>31</v>
      </c>
      <c r="K14" s="77" t="s">
        <v>31</v>
      </c>
      <c r="L14" s="57"/>
      <c r="M14" s="77" t="s">
        <v>31</v>
      </c>
      <c r="N14" s="77" t="s">
        <v>31</v>
      </c>
      <c r="O14" s="77" t="s">
        <v>31</v>
      </c>
      <c r="P14" s="57"/>
      <c r="Q14" s="77" t="s">
        <v>31</v>
      </c>
      <c r="R14" s="77" t="s">
        <v>31</v>
      </c>
      <c r="S14" s="77" t="s">
        <v>31</v>
      </c>
      <c r="T14" s="78" t="s">
        <v>37</v>
      </c>
      <c r="U14" s="79"/>
      <c r="V14" s="80">
        <v>10310</v>
      </c>
      <c r="W14" s="81">
        <f t="shared" ref="W14:W34" si="1">+V14*500</f>
        <v>5155000</v>
      </c>
      <c r="X14" s="82"/>
      <c r="Y14" s="85"/>
      <c r="Z14" s="333"/>
      <c r="AA14" s="56"/>
      <c r="AB14" s="5"/>
      <c r="AC14" s="5"/>
      <c r="AD14" s="5"/>
      <c r="AE14" s="5"/>
      <c r="AF14" s="5"/>
      <c r="AG14" s="5"/>
    </row>
    <row r="15" spans="1:33" s="6" customFormat="1" ht="39.4" customHeight="1" x14ac:dyDescent="0.25">
      <c r="A15" s="383" t="s">
        <v>345</v>
      </c>
      <c r="B15" s="86" t="s">
        <v>38</v>
      </c>
      <c r="C15" s="87"/>
      <c r="D15" s="57"/>
      <c r="E15" s="88"/>
      <c r="F15" s="88"/>
      <c r="G15" s="88"/>
      <c r="H15" s="57"/>
      <c r="I15" s="77" t="s">
        <v>31</v>
      </c>
      <c r="J15" s="77" t="s">
        <v>31</v>
      </c>
      <c r="K15" s="77" t="s">
        <v>31</v>
      </c>
      <c r="L15" s="57"/>
      <c r="M15" s="77" t="s">
        <v>31</v>
      </c>
      <c r="N15" s="77" t="s">
        <v>31</v>
      </c>
      <c r="O15" s="77" t="s">
        <v>31</v>
      </c>
      <c r="P15" s="57"/>
      <c r="Q15" s="88"/>
      <c r="R15" s="88"/>
      <c r="S15" s="88"/>
      <c r="T15" s="89" t="s">
        <v>39</v>
      </c>
      <c r="U15" s="82"/>
      <c r="V15" s="90">
        <f>3500000/500</f>
        <v>7000</v>
      </c>
      <c r="W15" s="81">
        <f t="shared" si="1"/>
        <v>3500000</v>
      </c>
      <c r="X15" s="82"/>
      <c r="Y15" s="82"/>
      <c r="Z15" s="334" t="s">
        <v>33</v>
      </c>
      <c r="AA15" s="56"/>
      <c r="AB15" s="5"/>
      <c r="AC15" s="5"/>
      <c r="AD15" s="5"/>
      <c r="AE15" s="5"/>
      <c r="AF15" s="5"/>
      <c r="AG15" s="5"/>
    </row>
    <row r="16" spans="1:33" s="6" customFormat="1" ht="23" x14ac:dyDescent="0.25">
      <c r="A16" s="384"/>
      <c r="B16" s="86" t="s">
        <v>346</v>
      </c>
      <c r="C16" s="76"/>
      <c r="D16" s="57"/>
      <c r="E16" s="77" t="s">
        <v>31</v>
      </c>
      <c r="F16" s="77" t="s">
        <v>31</v>
      </c>
      <c r="G16" s="77" t="s">
        <v>31</v>
      </c>
      <c r="H16" s="57"/>
      <c r="I16" s="77" t="s">
        <v>31</v>
      </c>
      <c r="J16" s="77" t="s">
        <v>31</v>
      </c>
      <c r="K16" s="77" t="s">
        <v>31</v>
      </c>
      <c r="L16" s="57"/>
      <c r="M16" s="77" t="s">
        <v>31</v>
      </c>
      <c r="N16" s="77" t="s">
        <v>31</v>
      </c>
      <c r="O16" s="77" t="s">
        <v>31</v>
      </c>
      <c r="P16" s="57"/>
      <c r="Q16" s="77" t="s">
        <v>31</v>
      </c>
      <c r="R16" s="77" t="s">
        <v>31</v>
      </c>
      <c r="S16" s="77" t="s">
        <v>31</v>
      </c>
      <c r="T16" s="78" t="s">
        <v>40</v>
      </c>
      <c r="U16" s="79"/>
      <c r="V16" s="91">
        <f>+(75000*12)/500</f>
        <v>1800</v>
      </c>
      <c r="W16" s="81">
        <f t="shared" si="1"/>
        <v>900000</v>
      </c>
      <c r="X16" s="82"/>
      <c r="Y16" s="85"/>
      <c r="Z16" s="332"/>
      <c r="AA16" s="56"/>
      <c r="AB16" s="5"/>
      <c r="AC16" s="5"/>
      <c r="AD16" s="5"/>
      <c r="AE16" s="5"/>
      <c r="AF16" s="5"/>
      <c r="AG16" s="5"/>
    </row>
    <row r="17" spans="1:33" s="6" customFormat="1" ht="27.4" customHeight="1" x14ac:dyDescent="0.25">
      <c r="A17" s="384"/>
      <c r="B17" s="75" t="s">
        <v>41</v>
      </c>
      <c r="C17" s="76"/>
      <c r="D17" s="57"/>
      <c r="E17" s="77" t="s">
        <v>31</v>
      </c>
      <c r="F17" s="77" t="s">
        <v>31</v>
      </c>
      <c r="G17" s="77" t="s">
        <v>31</v>
      </c>
      <c r="H17" s="57"/>
      <c r="I17" s="77" t="s">
        <v>31</v>
      </c>
      <c r="J17" s="77" t="s">
        <v>31</v>
      </c>
      <c r="K17" s="77" t="s">
        <v>31</v>
      </c>
      <c r="L17" s="57"/>
      <c r="M17" s="77" t="s">
        <v>31</v>
      </c>
      <c r="N17" s="77" t="s">
        <v>31</v>
      </c>
      <c r="O17" s="77" t="s">
        <v>31</v>
      </c>
      <c r="P17" s="57"/>
      <c r="Q17" s="77" t="s">
        <v>31</v>
      </c>
      <c r="R17" s="77" t="s">
        <v>31</v>
      </c>
      <c r="S17" s="77" t="s">
        <v>31</v>
      </c>
      <c r="T17" s="78" t="s">
        <v>42</v>
      </c>
      <c r="U17" s="79"/>
      <c r="V17" s="84">
        <f>1000000/500</f>
        <v>2000</v>
      </c>
      <c r="W17" s="81">
        <f t="shared" si="1"/>
        <v>1000000</v>
      </c>
      <c r="X17" s="82"/>
      <c r="Y17" s="85"/>
      <c r="Z17" s="332"/>
      <c r="AA17" s="56"/>
      <c r="AB17" s="5"/>
      <c r="AC17" s="5"/>
      <c r="AD17" s="5"/>
      <c r="AE17" s="5"/>
      <c r="AF17" s="5"/>
      <c r="AG17" s="5"/>
    </row>
    <row r="18" spans="1:33" s="6" customFormat="1" ht="27.4" customHeight="1" x14ac:dyDescent="0.25">
      <c r="A18" s="384"/>
      <c r="B18" s="75" t="s">
        <v>43</v>
      </c>
      <c r="C18" s="76"/>
      <c r="D18" s="57"/>
      <c r="E18" s="77" t="s">
        <v>31</v>
      </c>
      <c r="F18" s="77" t="s">
        <v>31</v>
      </c>
      <c r="G18" s="77" t="s">
        <v>31</v>
      </c>
      <c r="H18" s="57"/>
      <c r="I18" s="77" t="s">
        <v>31</v>
      </c>
      <c r="J18" s="77" t="s">
        <v>31</v>
      </c>
      <c r="K18" s="77" t="s">
        <v>31</v>
      </c>
      <c r="L18" s="57"/>
      <c r="M18" s="77" t="s">
        <v>31</v>
      </c>
      <c r="N18" s="77" t="s">
        <v>31</v>
      </c>
      <c r="O18" s="77" t="s">
        <v>31</v>
      </c>
      <c r="P18" s="57"/>
      <c r="Q18" s="77" t="s">
        <v>31</v>
      </c>
      <c r="R18" s="77" t="s">
        <v>31</v>
      </c>
      <c r="S18" s="77" t="s">
        <v>31</v>
      </c>
      <c r="T18" s="78" t="s">
        <v>44</v>
      </c>
      <c r="U18" s="79"/>
      <c r="V18" s="92">
        <f>+(500000*12)/500</f>
        <v>12000</v>
      </c>
      <c r="W18" s="81">
        <f t="shared" si="1"/>
        <v>6000000</v>
      </c>
      <c r="X18" s="82"/>
      <c r="Y18" s="85"/>
      <c r="Z18" s="332"/>
      <c r="AA18" s="56"/>
      <c r="AB18" s="5"/>
      <c r="AC18" s="5"/>
      <c r="AD18" s="5"/>
      <c r="AE18" s="5"/>
      <c r="AF18" s="5"/>
      <c r="AG18" s="5"/>
    </row>
    <row r="19" spans="1:33" s="6" customFormat="1" ht="69.400000000000006" customHeight="1" x14ac:dyDescent="0.25">
      <c r="A19" s="385"/>
      <c r="B19" s="75" t="s">
        <v>45</v>
      </c>
      <c r="C19" s="93"/>
      <c r="D19" s="57"/>
      <c r="E19" s="77" t="s">
        <v>31</v>
      </c>
      <c r="F19" s="77" t="s">
        <v>31</v>
      </c>
      <c r="G19" s="77" t="s">
        <v>31</v>
      </c>
      <c r="H19" s="57"/>
      <c r="I19" s="77" t="s">
        <v>31</v>
      </c>
      <c r="J19" s="77" t="s">
        <v>31</v>
      </c>
      <c r="K19" s="77" t="s">
        <v>31</v>
      </c>
      <c r="L19" s="57"/>
      <c r="M19" s="77" t="s">
        <v>31</v>
      </c>
      <c r="N19" s="77" t="s">
        <v>31</v>
      </c>
      <c r="O19" s="77" t="s">
        <v>31</v>
      </c>
      <c r="P19" s="57"/>
      <c r="Q19" s="77" t="s">
        <v>31</v>
      </c>
      <c r="R19" s="77" t="s">
        <v>31</v>
      </c>
      <c r="S19" s="77" t="s">
        <v>31</v>
      </c>
      <c r="T19" s="94" t="s">
        <v>46</v>
      </c>
      <c r="U19" s="79"/>
      <c r="V19" s="84">
        <f>10000000/500</f>
        <v>20000</v>
      </c>
      <c r="W19" s="81">
        <f t="shared" si="1"/>
        <v>10000000</v>
      </c>
      <c r="X19" s="82"/>
      <c r="Y19" s="95"/>
      <c r="Z19" s="333"/>
      <c r="AA19" s="56"/>
      <c r="AB19" s="5"/>
      <c r="AC19" s="5"/>
      <c r="AD19" s="5"/>
      <c r="AE19" s="5"/>
      <c r="AF19" s="5"/>
      <c r="AG19" s="5"/>
    </row>
    <row r="20" spans="1:33" s="6" customFormat="1" x14ac:dyDescent="0.25">
      <c r="A20" s="343" t="s">
        <v>347</v>
      </c>
      <c r="B20" s="96" t="s">
        <v>47</v>
      </c>
      <c r="C20" s="93"/>
      <c r="D20" s="57"/>
      <c r="E20" s="97"/>
      <c r="F20" s="97"/>
      <c r="G20" s="97"/>
      <c r="H20" s="57"/>
      <c r="I20" s="97"/>
      <c r="J20" s="97"/>
      <c r="K20" s="97"/>
      <c r="L20" s="57"/>
      <c r="M20" s="97"/>
      <c r="N20" s="97"/>
      <c r="O20" s="97"/>
      <c r="P20" s="57"/>
      <c r="Q20" s="77" t="s">
        <v>31</v>
      </c>
      <c r="R20" s="77" t="s">
        <v>31</v>
      </c>
      <c r="S20" s="77" t="s">
        <v>31</v>
      </c>
      <c r="T20" s="78" t="s">
        <v>48</v>
      </c>
      <c r="U20" s="79"/>
      <c r="V20" s="84">
        <f>20400000/500</f>
        <v>40800</v>
      </c>
      <c r="W20" s="81">
        <f t="shared" si="1"/>
        <v>20400000</v>
      </c>
      <c r="X20" s="82"/>
      <c r="Y20" s="98"/>
      <c r="Z20" s="334" t="s">
        <v>33</v>
      </c>
      <c r="AA20" s="56"/>
      <c r="AB20" s="5"/>
      <c r="AC20" s="5"/>
      <c r="AD20" s="5"/>
      <c r="AE20" s="5"/>
      <c r="AF20" s="5"/>
      <c r="AG20" s="5"/>
    </row>
    <row r="21" spans="1:33" s="6" customFormat="1" x14ac:dyDescent="0.25">
      <c r="A21" s="345"/>
      <c r="B21" s="96" t="s">
        <v>49</v>
      </c>
      <c r="C21" s="93"/>
      <c r="D21" s="57"/>
      <c r="E21" s="77" t="s">
        <v>31</v>
      </c>
      <c r="F21" s="77" t="s">
        <v>31</v>
      </c>
      <c r="G21" s="77" t="s">
        <v>31</v>
      </c>
      <c r="H21" s="57"/>
      <c r="I21" s="77" t="s">
        <v>31</v>
      </c>
      <c r="J21" s="77" t="s">
        <v>31</v>
      </c>
      <c r="K21" s="77" t="s">
        <v>31</v>
      </c>
      <c r="L21" s="57"/>
      <c r="M21" s="77" t="s">
        <v>31</v>
      </c>
      <c r="N21" s="77" t="s">
        <v>31</v>
      </c>
      <c r="O21" s="77" t="s">
        <v>31</v>
      </c>
      <c r="P21" s="57"/>
      <c r="Q21" s="77" t="s">
        <v>31</v>
      </c>
      <c r="R21" s="77" t="s">
        <v>31</v>
      </c>
      <c r="S21" s="77" t="s">
        <v>31</v>
      </c>
      <c r="T21" s="78" t="s">
        <v>48</v>
      </c>
      <c r="U21" s="79"/>
      <c r="V21" s="84">
        <f>13000000/500</f>
        <v>26000</v>
      </c>
      <c r="W21" s="81">
        <f t="shared" si="1"/>
        <v>13000000</v>
      </c>
      <c r="X21" s="82"/>
      <c r="Y21" s="98"/>
      <c r="Z21" s="333"/>
      <c r="AA21" s="56"/>
      <c r="AB21" s="5"/>
      <c r="AC21" s="5"/>
      <c r="AD21" s="5"/>
      <c r="AE21" s="5"/>
      <c r="AF21" s="5"/>
      <c r="AG21" s="5"/>
    </row>
    <row r="22" spans="1:33" s="6" customFormat="1" ht="46.5" customHeight="1" x14ac:dyDescent="0.25">
      <c r="A22" s="343" t="s">
        <v>348</v>
      </c>
      <c r="B22" s="96" t="s">
        <v>50</v>
      </c>
      <c r="C22" s="93"/>
      <c r="D22" s="57"/>
      <c r="E22" s="97"/>
      <c r="F22" s="97"/>
      <c r="G22" s="97"/>
      <c r="H22" s="57"/>
      <c r="I22" s="97"/>
      <c r="J22" s="97"/>
      <c r="K22" s="97"/>
      <c r="L22" s="57"/>
      <c r="M22" s="77" t="s">
        <v>31</v>
      </c>
      <c r="N22" s="77" t="s">
        <v>31</v>
      </c>
      <c r="O22" s="77" t="s">
        <v>31</v>
      </c>
      <c r="P22" s="57"/>
      <c r="Q22" s="97"/>
      <c r="R22" s="97"/>
      <c r="S22" s="97"/>
      <c r="T22" s="99" t="s">
        <v>51</v>
      </c>
      <c r="U22" s="79"/>
      <c r="V22" s="92">
        <f>3000000/500</f>
        <v>6000</v>
      </c>
      <c r="W22" s="81">
        <f t="shared" si="1"/>
        <v>3000000</v>
      </c>
      <c r="X22" s="82"/>
      <c r="Y22" s="98"/>
      <c r="Z22" s="334" t="s">
        <v>33</v>
      </c>
      <c r="AA22" s="56"/>
      <c r="AB22" s="5"/>
      <c r="AC22" s="5"/>
      <c r="AD22" s="5"/>
      <c r="AE22" s="5"/>
      <c r="AF22" s="5"/>
      <c r="AG22" s="5"/>
    </row>
    <row r="23" spans="1:33" s="6" customFormat="1" ht="28.5" customHeight="1" x14ac:dyDescent="0.25">
      <c r="A23" s="344"/>
      <c r="B23" s="96" t="s">
        <v>52</v>
      </c>
      <c r="C23" s="93"/>
      <c r="D23" s="57"/>
      <c r="E23" s="97"/>
      <c r="F23" s="97"/>
      <c r="G23" s="97"/>
      <c r="H23" s="57"/>
      <c r="I23" s="97"/>
      <c r="J23" s="97"/>
      <c r="K23" s="97"/>
      <c r="L23" s="57"/>
      <c r="M23" s="77" t="s">
        <v>31</v>
      </c>
      <c r="N23" s="77" t="s">
        <v>31</v>
      </c>
      <c r="O23" s="77" t="s">
        <v>31</v>
      </c>
      <c r="P23" s="57"/>
      <c r="Q23" s="97"/>
      <c r="R23" s="97"/>
      <c r="S23" s="97"/>
      <c r="T23" s="100" t="s">
        <v>53</v>
      </c>
      <c r="U23" s="79"/>
      <c r="V23" s="92">
        <f>10000000/500</f>
        <v>20000</v>
      </c>
      <c r="W23" s="81">
        <f t="shared" si="1"/>
        <v>10000000</v>
      </c>
      <c r="X23" s="82"/>
      <c r="Y23" s="98"/>
      <c r="Z23" s="332"/>
      <c r="AA23" s="56"/>
      <c r="AB23" s="5"/>
      <c r="AC23" s="5"/>
      <c r="AD23" s="5"/>
      <c r="AE23" s="5"/>
      <c r="AF23" s="5"/>
      <c r="AG23" s="5"/>
    </row>
    <row r="24" spans="1:33" s="6" customFormat="1" ht="26.65" customHeight="1" x14ac:dyDescent="0.25">
      <c r="A24" s="344"/>
      <c r="B24" s="96" t="s">
        <v>54</v>
      </c>
      <c r="C24" s="93"/>
      <c r="D24" s="57"/>
      <c r="E24" s="97"/>
      <c r="F24" s="97"/>
      <c r="G24" s="97"/>
      <c r="H24" s="57"/>
      <c r="I24" s="97"/>
      <c r="J24" s="97"/>
      <c r="K24" s="97"/>
      <c r="L24" s="57"/>
      <c r="M24" s="77" t="s">
        <v>31</v>
      </c>
      <c r="N24" s="77" t="s">
        <v>31</v>
      </c>
      <c r="O24" s="77" t="s">
        <v>31</v>
      </c>
      <c r="P24" s="57"/>
      <c r="Q24" s="97"/>
      <c r="R24" s="97"/>
      <c r="S24" s="97"/>
      <c r="T24" s="101" t="s">
        <v>55</v>
      </c>
      <c r="U24" s="79"/>
      <c r="V24" s="84">
        <f>45000000/500</f>
        <v>90000</v>
      </c>
      <c r="W24" s="81">
        <f t="shared" si="1"/>
        <v>45000000</v>
      </c>
      <c r="X24" s="82"/>
      <c r="Y24" s="98"/>
      <c r="Z24" s="332"/>
      <c r="AA24" s="56"/>
      <c r="AB24" s="5"/>
      <c r="AC24" s="5"/>
      <c r="AD24" s="5"/>
      <c r="AE24" s="5"/>
      <c r="AF24" s="5"/>
      <c r="AG24" s="5"/>
    </row>
    <row r="25" spans="1:33" s="6" customFormat="1" x14ac:dyDescent="0.25">
      <c r="A25" s="345"/>
      <c r="B25" s="96" t="s">
        <v>56</v>
      </c>
      <c r="C25" s="93"/>
      <c r="D25" s="57"/>
      <c r="E25" s="77" t="s">
        <v>31</v>
      </c>
      <c r="F25" s="77" t="s">
        <v>31</v>
      </c>
      <c r="G25" s="77" t="s">
        <v>31</v>
      </c>
      <c r="H25" s="57"/>
      <c r="I25" s="77" t="s">
        <v>31</v>
      </c>
      <c r="J25" s="77" t="s">
        <v>31</v>
      </c>
      <c r="K25" s="77" t="s">
        <v>31</v>
      </c>
      <c r="L25" s="57"/>
      <c r="M25" s="77" t="s">
        <v>31</v>
      </c>
      <c r="N25" s="77" t="s">
        <v>31</v>
      </c>
      <c r="O25" s="77" t="s">
        <v>31</v>
      </c>
      <c r="P25" s="57"/>
      <c r="Q25" s="77" t="s">
        <v>31</v>
      </c>
      <c r="R25" s="77" t="s">
        <v>31</v>
      </c>
      <c r="S25" s="77" t="s">
        <v>31</v>
      </c>
      <c r="T25" s="78" t="s">
        <v>57</v>
      </c>
      <c r="U25" s="79"/>
      <c r="V25" s="91">
        <f>1500000/500</f>
        <v>3000</v>
      </c>
      <c r="W25" s="81">
        <f t="shared" si="1"/>
        <v>1500000</v>
      </c>
      <c r="X25" s="82"/>
      <c r="Y25" s="98"/>
      <c r="Z25" s="333"/>
      <c r="AA25" s="56"/>
      <c r="AB25" s="5"/>
      <c r="AC25" s="5"/>
      <c r="AD25" s="5"/>
      <c r="AE25" s="5"/>
      <c r="AF25" s="5"/>
      <c r="AG25" s="5"/>
    </row>
    <row r="26" spans="1:33" s="6" customFormat="1" ht="21.4" customHeight="1" x14ac:dyDescent="0.25">
      <c r="A26" s="343" t="s">
        <v>349</v>
      </c>
      <c r="B26" s="102" t="s">
        <v>58</v>
      </c>
      <c r="C26" s="103"/>
      <c r="D26" s="57"/>
      <c r="E26" s="77" t="s">
        <v>31</v>
      </c>
      <c r="F26" s="77" t="s">
        <v>31</v>
      </c>
      <c r="G26" s="97"/>
      <c r="H26" s="57"/>
      <c r="I26" s="97"/>
      <c r="J26" s="97"/>
      <c r="K26" s="97"/>
      <c r="L26" s="57"/>
      <c r="M26" s="77" t="s">
        <v>31</v>
      </c>
      <c r="N26" s="77" t="s">
        <v>31</v>
      </c>
      <c r="O26" s="97"/>
      <c r="P26" s="57"/>
      <c r="Q26" s="97"/>
      <c r="R26" s="97"/>
      <c r="S26" s="97"/>
      <c r="T26" s="78" t="s">
        <v>59</v>
      </c>
      <c r="U26" s="79"/>
      <c r="V26" s="84">
        <f>1000000/500</f>
        <v>2000</v>
      </c>
      <c r="W26" s="81">
        <f t="shared" si="1"/>
        <v>1000000</v>
      </c>
      <c r="X26" s="82"/>
      <c r="Y26" s="98"/>
      <c r="Z26" s="96" t="s">
        <v>60</v>
      </c>
      <c r="AA26" s="56"/>
      <c r="AB26" s="5"/>
      <c r="AC26" s="5"/>
      <c r="AD26" s="5"/>
      <c r="AE26" s="5"/>
      <c r="AF26" s="5"/>
      <c r="AG26" s="5"/>
    </row>
    <row r="27" spans="1:33" s="6" customFormat="1" ht="28.9" customHeight="1" x14ac:dyDescent="0.25">
      <c r="A27" s="344"/>
      <c r="B27" s="102" t="s">
        <v>61</v>
      </c>
      <c r="C27" s="103"/>
      <c r="D27" s="57"/>
      <c r="E27" s="97"/>
      <c r="F27" s="77" t="s">
        <v>31</v>
      </c>
      <c r="G27" s="77" t="s">
        <v>31</v>
      </c>
      <c r="H27" s="57"/>
      <c r="I27" s="77" t="s">
        <v>31</v>
      </c>
      <c r="J27" s="77" t="s">
        <v>31</v>
      </c>
      <c r="K27" s="77" t="s">
        <v>31</v>
      </c>
      <c r="L27" s="57"/>
      <c r="M27" s="97"/>
      <c r="N27" s="97"/>
      <c r="O27" s="97"/>
      <c r="P27" s="57"/>
      <c r="Q27" s="97"/>
      <c r="R27" s="97"/>
      <c r="S27" s="97"/>
      <c r="T27" s="78" t="s">
        <v>62</v>
      </c>
      <c r="U27" s="79"/>
      <c r="V27" s="84">
        <f>1650000/500</f>
        <v>3300</v>
      </c>
      <c r="W27" s="81">
        <f t="shared" si="1"/>
        <v>1650000</v>
      </c>
      <c r="X27" s="82"/>
      <c r="Y27" s="98"/>
      <c r="Z27" s="96" t="s">
        <v>63</v>
      </c>
      <c r="AA27" s="56"/>
      <c r="AB27" s="5"/>
      <c r="AC27" s="5"/>
      <c r="AD27" s="5"/>
      <c r="AE27" s="5"/>
      <c r="AF27" s="5"/>
      <c r="AG27" s="5"/>
    </row>
    <row r="28" spans="1:33" s="6" customFormat="1" ht="37.15" customHeight="1" x14ac:dyDescent="0.25">
      <c r="A28" s="344"/>
      <c r="B28" s="102" t="s">
        <v>64</v>
      </c>
      <c r="C28" s="103"/>
      <c r="D28" s="57"/>
      <c r="E28" s="77" t="s">
        <v>31</v>
      </c>
      <c r="F28" s="77" t="s">
        <v>31</v>
      </c>
      <c r="G28" s="77" t="s">
        <v>31</v>
      </c>
      <c r="H28" s="57"/>
      <c r="I28" s="77" t="s">
        <v>31</v>
      </c>
      <c r="J28" s="77" t="s">
        <v>31</v>
      </c>
      <c r="K28" s="77" t="s">
        <v>31</v>
      </c>
      <c r="L28" s="57"/>
      <c r="M28" s="77" t="s">
        <v>31</v>
      </c>
      <c r="N28" s="77" t="s">
        <v>31</v>
      </c>
      <c r="O28" s="77" t="s">
        <v>31</v>
      </c>
      <c r="P28" s="57"/>
      <c r="Q28" s="77" t="s">
        <v>31</v>
      </c>
      <c r="R28" s="77" t="s">
        <v>31</v>
      </c>
      <c r="S28" s="77" t="s">
        <v>31</v>
      </c>
      <c r="T28" s="78" t="s">
        <v>65</v>
      </c>
      <c r="U28" s="79"/>
      <c r="V28" s="91">
        <f>2000000/500</f>
        <v>4000</v>
      </c>
      <c r="W28" s="81">
        <f t="shared" si="1"/>
        <v>2000000</v>
      </c>
      <c r="X28" s="82"/>
      <c r="Y28" s="98"/>
      <c r="Z28" s="96" t="s">
        <v>66</v>
      </c>
      <c r="AA28" s="56"/>
      <c r="AB28" s="5"/>
      <c r="AC28" s="5"/>
      <c r="AD28" s="5"/>
      <c r="AE28" s="5"/>
      <c r="AF28" s="5"/>
      <c r="AG28" s="5"/>
    </row>
    <row r="29" spans="1:33" s="6" customFormat="1" ht="23" x14ac:dyDescent="0.25">
      <c r="A29" s="343" t="s">
        <v>350</v>
      </c>
      <c r="B29" s="102" t="s">
        <v>67</v>
      </c>
      <c r="C29" s="103"/>
      <c r="D29" s="57"/>
      <c r="E29" s="96"/>
      <c r="F29" s="96"/>
      <c r="G29" s="77" t="s">
        <v>31</v>
      </c>
      <c r="H29" s="57"/>
      <c r="I29" s="96"/>
      <c r="J29" s="96"/>
      <c r="K29" s="104"/>
      <c r="L29" s="57"/>
      <c r="M29" s="96"/>
      <c r="N29" s="96"/>
      <c r="O29" s="77" t="s">
        <v>31</v>
      </c>
      <c r="P29" s="57"/>
      <c r="Q29" s="96"/>
      <c r="R29" s="96"/>
      <c r="S29" s="88"/>
      <c r="T29" s="78" t="s">
        <v>68</v>
      </c>
      <c r="U29" s="79"/>
      <c r="V29" s="91">
        <f>1000000/500</f>
        <v>2000</v>
      </c>
      <c r="W29" s="81">
        <f t="shared" si="1"/>
        <v>1000000</v>
      </c>
      <c r="X29" s="82"/>
      <c r="Y29" s="98"/>
      <c r="Z29" s="96" t="s">
        <v>69</v>
      </c>
      <c r="AA29" s="56"/>
      <c r="AB29" s="5"/>
      <c r="AC29" s="5"/>
      <c r="AD29" s="5"/>
      <c r="AE29" s="5"/>
      <c r="AF29" s="5"/>
      <c r="AG29" s="5"/>
    </row>
    <row r="30" spans="1:33" s="6" customFormat="1" ht="23" x14ac:dyDescent="0.25">
      <c r="A30" s="344"/>
      <c r="B30" s="102" t="s">
        <v>70</v>
      </c>
      <c r="C30" s="103"/>
      <c r="D30" s="57"/>
      <c r="E30" s="97"/>
      <c r="F30" s="97"/>
      <c r="G30" s="97"/>
      <c r="H30" s="57"/>
      <c r="I30" s="97"/>
      <c r="J30" s="97"/>
      <c r="K30" s="97"/>
      <c r="L30" s="57"/>
      <c r="M30" s="97"/>
      <c r="N30" s="97"/>
      <c r="O30" s="77" t="s">
        <v>31</v>
      </c>
      <c r="P30" s="57"/>
      <c r="Q30" s="105"/>
      <c r="R30" s="105"/>
      <c r="S30" s="88"/>
      <c r="T30" s="78" t="s">
        <v>71</v>
      </c>
      <c r="U30" s="79"/>
      <c r="V30" s="92">
        <f>4000000/500</f>
        <v>8000</v>
      </c>
      <c r="W30" s="81">
        <f t="shared" si="1"/>
        <v>4000000</v>
      </c>
      <c r="X30" s="82"/>
      <c r="Y30" s="98"/>
      <c r="Z30" s="96" t="s">
        <v>72</v>
      </c>
      <c r="AA30" s="56"/>
      <c r="AB30" s="5"/>
      <c r="AC30" s="5"/>
      <c r="AD30" s="5"/>
      <c r="AE30" s="5"/>
      <c r="AF30" s="5"/>
      <c r="AG30" s="5"/>
    </row>
    <row r="31" spans="1:33" s="6" customFormat="1" x14ac:dyDescent="0.25">
      <c r="A31" s="343" t="s">
        <v>351</v>
      </c>
      <c r="B31" s="102" t="s">
        <v>73</v>
      </c>
      <c r="C31" s="103"/>
      <c r="D31" s="57"/>
      <c r="E31" s="77" t="s">
        <v>31</v>
      </c>
      <c r="F31" s="77" t="s">
        <v>31</v>
      </c>
      <c r="G31" s="77" t="s">
        <v>31</v>
      </c>
      <c r="H31" s="57"/>
      <c r="I31" s="77" t="s">
        <v>31</v>
      </c>
      <c r="J31" s="77" t="s">
        <v>31</v>
      </c>
      <c r="K31" s="77" t="s">
        <v>31</v>
      </c>
      <c r="L31" s="57"/>
      <c r="M31" s="77" t="s">
        <v>31</v>
      </c>
      <c r="N31" s="77" t="s">
        <v>31</v>
      </c>
      <c r="O31" s="77" t="s">
        <v>31</v>
      </c>
      <c r="P31" s="57"/>
      <c r="Q31" s="77" t="s">
        <v>31</v>
      </c>
      <c r="R31" s="77" t="s">
        <v>31</v>
      </c>
      <c r="S31" s="77" t="s">
        <v>31</v>
      </c>
      <c r="T31" s="78" t="s">
        <v>74</v>
      </c>
      <c r="U31" s="79"/>
      <c r="V31" s="84">
        <f>3000000/500</f>
        <v>6000</v>
      </c>
      <c r="W31" s="81">
        <f t="shared" si="1"/>
        <v>3000000</v>
      </c>
      <c r="X31" s="82"/>
      <c r="Y31" s="98"/>
      <c r="Z31" s="96" t="s">
        <v>66</v>
      </c>
      <c r="AA31" s="56"/>
      <c r="AB31" s="5"/>
      <c r="AC31" s="5"/>
      <c r="AD31" s="5"/>
      <c r="AE31" s="5"/>
      <c r="AF31" s="5"/>
      <c r="AG31" s="5"/>
    </row>
    <row r="32" spans="1:33" s="6" customFormat="1" ht="34.5" x14ac:dyDescent="0.25">
      <c r="A32" s="344"/>
      <c r="B32" s="102" t="s">
        <v>75</v>
      </c>
      <c r="C32" s="103"/>
      <c r="D32" s="57"/>
      <c r="E32" s="77" t="s">
        <v>31</v>
      </c>
      <c r="F32" s="77" t="s">
        <v>31</v>
      </c>
      <c r="G32" s="77" t="s">
        <v>31</v>
      </c>
      <c r="H32" s="57"/>
      <c r="I32" s="77" t="s">
        <v>31</v>
      </c>
      <c r="J32" s="77" t="s">
        <v>31</v>
      </c>
      <c r="K32" s="77" t="s">
        <v>31</v>
      </c>
      <c r="L32" s="57"/>
      <c r="M32" s="77" t="s">
        <v>31</v>
      </c>
      <c r="N32" s="77" t="s">
        <v>31</v>
      </c>
      <c r="O32" s="77" t="s">
        <v>31</v>
      </c>
      <c r="P32" s="57"/>
      <c r="Q32" s="77" t="s">
        <v>31</v>
      </c>
      <c r="R32" s="77" t="s">
        <v>31</v>
      </c>
      <c r="S32" s="77" t="s">
        <v>31</v>
      </c>
      <c r="T32" s="78" t="s">
        <v>76</v>
      </c>
      <c r="U32" s="79"/>
      <c r="V32" s="84">
        <f>11000000/500</f>
        <v>22000</v>
      </c>
      <c r="W32" s="81">
        <f t="shared" si="1"/>
        <v>11000000</v>
      </c>
      <c r="X32" s="82"/>
      <c r="Y32" s="98"/>
      <c r="Z32" s="334" t="s">
        <v>66</v>
      </c>
      <c r="AA32" s="56"/>
      <c r="AB32" s="5"/>
      <c r="AC32" s="5"/>
      <c r="AD32" s="5"/>
      <c r="AE32" s="5"/>
      <c r="AF32" s="5"/>
      <c r="AG32" s="5"/>
    </row>
    <row r="33" spans="1:33" s="6" customFormat="1" ht="25.15" customHeight="1" x14ac:dyDescent="0.25">
      <c r="A33" s="344"/>
      <c r="B33" s="102" t="s">
        <v>77</v>
      </c>
      <c r="C33" s="103"/>
      <c r="D33" s="57"/>
      <c r="E33" s="77" t="s">
        <v>31</v>
      </c>
      <c r="F33" s="77" t="s">
        <v>31</v>
      </c>
      <c r="G33" s="77" t="s">
        <v>31</v>
      </c>
      <c r="H33" s="57"/>
      <c r="I33" s="77" t="s">
        <v>31</v>
      </c>
      <c r="J33" s="77" t="s">
        <v>31</v>
      </c>
      <c r="K33" s="77" t="s">
        <v>31</v>
      </c>
      <c r="L33" s="57"/>
      <c r="M33" s="77" t="s">
        <v>31</v>
      </c>
      <c r="N33" s="77" t="s">
        <v>31</v>
      </c>
      <c r="O33" s="77" t="s">
        <v>31</v>
      </c>
      <c r="P33" s="57"/>
      <c r="Q33" s="77" t="s">
        <v>31</v>
      </c>
      <c r="R33" s="77" t="s">
        <v>31</v>
      </c>
      <c r="S33" s="77" t="s">
        <v>31</v>
      </c>
      <c r="T33" s="78" t="s">
        <v>78</v>
      </c>
      <c r="U33" s="79"/>
      <c r="V33" s="84">
        <f>3500000/500</f>
        <v>7000</v>
      </c>
      <c r="W33" s="81">
        <f t="shared" si="1"/>
        <v>3500000</v>
      </c>
      <c r="X33" s="82"/>
      <c r="Y33" s="98"/>
      <c r="Z33" s="332"/>
      <c r="AA33" s="56"/>
      <c r="AB33" s="5"/>
      <c r="AC33" s="5"/>
      <c r="AD33" s="5"/>
      <c r="AE33" s="5"/>
      <c r="AF33" s="5"/>
      <c r="AG33" s="5"/>
    </row>
    <row r="34" spans="1:33" s="6" customFormat="1" ht="44.65" customHeight="1" x14ac:dyDescent="0.25">
      <c r="A34" s="345"/>
      <c r="B34" s="102" t="s">
        <v>79</v>
      </c>
      <c r="C34" s="103"/>
      <c r="D34" s="57"/>
      <c r="E34" s="77" t="s">
        <v>31</v>
      </c>
      <c r="F34" s="77" t="s">
        <v>31</v>
      </c>
      <c r="G34" s="77" t="s">
        <v>31</v>
      </c>
      <c r="H34" s="57"/>
      <c r="I34" s="77" t="s">
        <v>31</v>
      </c>
      <c r="J34" s="77" t="s">
        <v>31</v>
      </c>
      <c r="K34" s="77" t="s">
        <v>31</v>
      </c>
      <c r="L34" s="57"/>
      <c r="M34" s="77" t="s">
        <v>31</v>
      </c>
      <c r="N34" s="77" t="s">
        <v>31</v>
      </c>
      <c r="O34" s="77" t="s">
        <v>31</v>
      </c>
      <c r="P34" s="57"/>
      <c r="Q34" s="77" t="s">
        <v>31</v>
      </c>
      <c r="R34" s="77" t="s">
        <v>31</v>
      </c>
      <c r="S34" s="77" t="s">
        <v>31</v>
      </c>
      <c r="T34" s="78" t="s">
        <v>80</v>
      </c>
      <c r="U34" s="79"/>
      <c r="V34" s="84">
        <f>3000000/500</f>
        <v>6000</v>
      </c>
      <c r="W34" s="81">
        <f t="shared" si="1"/>
        <v>3000000</v>
      </c>
      <c r="X34" s="82"/>
      <c r="Y34" s="98"/>
      <c r="Z34" s="333"/>
      <c r="AA34" s="56"/>
      <c r="AB34" s="5"/>
      <c r="AC34" s="5"/>
      <c r="AD34" s="5"/>
      <c r="AE34" s="5"/>
      <c r="AF34" s="5"/>
      <c r="AG34" s="5"/>
    </row>
    <row r="35" spans="1:33" x14ac:dyDescent="0.3">
      <c r="A35" s="106" t="s">
        <v>81</v>
      </c>
      <c r="B35" s="107"/>
      <c r="C35" s="107"/>
      <c r="D35" s="62"/>
      <c r="E35" s="62"/>
      <c r="F35" s="62"/>
      <c r="G35" s="62"/>
      <c r="H35" s="62"/>
      <c r="I35" s="62"/>
      <c r="J35" s="62"/>
      <c r="K35" s="62"/>
      <c r="L35" s="62"/>
      <c r="M35" s="62"/>
      <c r="N35" s="62"/>
      <c r="O35" s="62"/>
      <c r="P35" s="62"/>
      <c r="Q35" s="62"/>
      <c r="R35" s="62"/>
      <c r="S35" s="62"/>
      <c r="T35" s="108"/>
      <c r="U35" s="62"/>
      <c r="V35" s="64">
        <f>+V36+V38+V47+V59+V61+V66+V72</f>
        <v>556144.53846153826</v>
      </c>
      <c r="W35" s="318">
        <f>+V35*500</f>
        <v>278072269.23076916</v>
      </c>
      <c r="X35" s="65"/>
      <c r="Y35" s="65"/>
      <c r="Z35" s="62"/>
    </row>
    <row r="36" spans="1:33" x14ac:dyDescent="0.3">
      <c r="A36" s="109" t="s">
        <v>82</v>
      </c>
      <c r="B36" s="110"/>
      <c r="C36" s="110"/>
      <c r="D36" s="111"/>
      <c r="E36" s="111"/>
      <c r="F36" s="111"/>
      <c r="G36" s="111"/>
      <c r="H36" s="111"/>
      <c r="I36" s="111"/>
      <c r="J36" s="111"/>
      <c r="K36" s="111"/>
      <c r="L36" s="111"/>
      <c r="M36" s="111"/>
      <c r="N36" s="111"/>
      <c r="O36" s="111"/>
      <c r="P36" s="111"/>
      <c r="Q36" s="111"/>
      <c r="R36" s="111"/>
      <c r="S36" s="111"/>
      <c r="T36" s="112"/>
      <c r="U36" s="111"/>
      <c r="V36" s="113">
        <f>+SUM(V37:V37)</f>
        <v>50000</v>
      </c>
      <c r="W36" s="133">
        <f>+V36*500</f>
        <v>25000000</v>
      </c>
      <c r="X36" s="114"/>
      <c r="Y36" s="114"/>
      <c r="Z36" s="111"/>
    </row>
    <row r="37" spans="1:33" ht="23" x14ac:dyDescent="0.3">
      <c r="A37" s="115" t="s">
        <v>352</v>
      </c>
      <c r="B37" s="96" t="s">
        <v>83</v>
      </c>
      <c r="C37" s="93"/>
      <c r="D37" s="57"/>
      <c r="E37" s="77" t="s">
        <v>31</v>
      </c>
      <c r="F37" s="77" t="s">
        <v>31</v>
      </c>
      <c r="G37" s="77" t="s">
        <v>31</v>
      </c>
      <c r="H37" s="57"/>
      <c r="I37" s="77" t="s">
        <v>31</v>
      </c>
      <c r="J37" s="77" t="s">
        <v>31</v>
      </c>
      <c r="K37" s="77" t="s">
        <v>31</v>
      </c>
      <c r="L37" s="57"/>
      <c r="M37" s="77" t="s">
        <v>31</v>
      </c>
      <c r="N37" s="77" t="s">
        <v>31</v>
      </c>
      <c r="O37" s="77" t="s">
        <v>31</v>
      </c>
      <c r="P37" s="57"/>
      <c r="Q37" s="77" t="s">
        <v>31</v>
      </c>
      <c r="R37" s="77" t="s">
        <v>31</v>
      </c>
      <c r="S37" s="77" t="s">
        <v>31</v>
      </c>
      <c r="T37" s="116" t="s">
        <v>84</v>
      </c>
      <c r="U37" s="117"/>
      <c r="V37" s="84">
        <f>25000000/500</f>
        <v>50000</v>
      </c>
      <c r="W37" s="95">
        <f>+V37*500</f>
        <v>25000000</v>
      </c>
      <c r="X37" s="82"/>
      <c r="Y37" s="118"/>
      <c r="Z37" s="119" t="s">
        <v>85</v>
      </c>
    </row>
    <row r="38" spans="1:33" x14ac:dyDescent="0.3">
      <c r="A38" s="109" t="s">
        <v>86</v>
      </c>
      <c r="B38" s="110"/>
      <c r="C38" s="110"/>
      <c r="D38" s="111"/>
      <c r="E38" s="111"/>
      <c r="F38" s="111"/>
      <c r="G38" s="111"/>
      <c r="H38" s="111"/>
      <c r="I38" s="111"/>
      <c r="J38" s="111"/>
      <c r="K38" s="111"/>
      <c r="L38" s="111"/>
      <c r="M38" s="111"/>
      <c r="N38" s="111"/>
      <c r="O38" s="111"/>
      <c r="P38" s="111"/>
      <c r="Q38" s="111"/>
      <c r="R38" s="111"/>
      <c r="S38" s="111"/>
      <c r="T38" s="112"/>
      <c r="U38" s="111"/>
      <c r="V38" s="113">
        <f>+SUM(V39:V45)</f>
        <v>79000</v>
      </c>
      <c r="W38" s="133">
        <f>+V38*500</f>
        <v>39500000</v>
      </c>
      <c r="X38" s="114"/>
      <c r="Y38" s="114"/>
      <c r="Z38" s="111"/>
    </row>
    <row r="39" spans="1:33" ht="23" x14ac:dyDescent="0.3">
      <c r="A39" s="363" t="s">
        <v>353</v>
      </c>
      <c r="B39" s="96" t="s">
        <v>87</v>
      </c>
      <c r="C39" s="56"/>
      <c r="D39" s="57"/>
      <c r="E39" s="77" t="s">
        <v>31</v>
      </c>
      <c r="F39" s="77" t="s">
        <v>31</v>
      </c>
      <c r="G39" s="77" t="s">
        <v>31</v>
      </c>
      <c r="H39" s="57"/>
      <c r="I39" s="77" t="s">
        <v>31</v>
      </c>
      <c r="J39" s="77" t="s">
        <v>31</v>
      </c>
      <c r="K39" s="77" t="s">
        <v>31</v>
      </c>
      <c r="L39" s="57"/>
      <c r="M39" s="120"/>
      <c r="N39" s="120"/>
      <c r="O39" s="120"/>
      <c r="P39" s="57"/>
      <c r="Q39" s="120"/>
      <c r="R39" s="120"/>
      <c r="S39" s="120"/>
      <c r="T39" s="121" t="s">
        <v>88</v>
      </c>
      <c r="U39" s="122"/>
      <c r="V39" s="381">
        <f>500000/500</f>
        <v>1000</v>
      </c>
      <c r="W39" s="346">
        <f>+V39*500</f>
        <v>500000</v>
      </c>
      <c r="X39" s="82"/>
      <c r="Y39" s="123"/>
      <c r="Z39" s="335" t="s">
        <v>85</v>
      </c>
    </row>
    <row r="40" spans="1:33" x14ac:dyDescent="0.3">
      <c r="A40" s="365"/>
      <c r="B40" s="96" t="s">
        <v>89</v>
      </c>
      <c r="C40" s="93"/>
      <c r="D40" s="57"/>
      <c r="E40" s="77" t="s">
        <v>31</v>
      </c>
      <c r="F40" s="77" t="s">
        <v>31</v>
      </c>
      <c r="G40" s="77" t="s">
        <v>31</v>
      </c>
      <c r="H40" s="57"/>
      <c r="I40" s="77" t="s">
        <v>31</v>
      </c>
      <c r="J40" s="77" t="s">
        <v>31</v>
      </c>
      <c r="K40" s="77" t="s">
        <v>31</v>
      </c>
      <c r="L40" s="57"/>
      <c r="M40" s="120"/>
      <c r="N40" s="120"/>
      <c r="O40" s="120"/>
      <c r="P40" s="57"/>
      <c r="Q40" s="120"/>
      <c r="R40" s="120"/>
      <c r="S40" s="120"/>
      <c r="T40" s="124" t="s">
        <v>90</v>
      </c>
      <c r="U40" s="44"/>
      <c r="V40" s="382"/>
      <c r="W40" s="347"/>
      <c r="X40" s="82"/>
      <c r="Y40" s="123"/>
      <c r="Z40" s="336"/>
    </row>
    <row r="41" spans="1:33" ht="22.15" customHeight="1" x14ac:dyDescent="0.3">
      <c r="A41" s="363" t="s">
        <v>354</v>
      </c>
      <c r="B41" s="96" t="s">
        <v>91</v>
      </c>
      <c r="C41" s="93"/>
      <c r="D41" s="57"/>
      <c r="E41" s="120"/>
      <c r="F41" s="120"/>
      <c r="G41" s="120"/>
      <c r="H41" s="57"/>
      <c r="I41" s="120"/>
      <c r="J41" s="120"/>
      <c r="K41" s="77" t="s">
        <v>31</v>
      </c>
      <c r="L41" s="57"/>
      <c r="M41" s="77" t="s">
        <v>31</v>
      </c>
      <c r="N41" s="77" t="s">
        <v>31</v>
      </c>
      <c r="O41" s="77" t="s">
        <v>31</v>
      </c>
      <c r="P41" s="57"/>
      <c r="Q41" s="120"/>
      <c r="R41" s="120"/>
      <c r="S41" s="120"/>
      <c r="T41" s="124" t="s">
        <v>92</v>
      </c>
      <c r="U41" s="44"/>
      <c r="V41" s="381">
        <v>8000</v>
      </c>
      <c r="W41" s="346">
        <f>+V41*500</f>
        <v>4000000</v>
      </c>
      <c r="X41" s="82"/>
      <c r="Y41" s="123"/>
      <c r="Z41" s="335" t="s">
        <v>93</v>
      </c>
    </row>
    <row r="42" spans="1:33" ht="18.399999999999999" customHeight="1" x14ac:dyDescent="0.3">
      <c r="A42" s="365"/>
      <c r="B42" s="96" t="s">
        <v>94</v>
      </c>
      <c r="C42" s="93"/>
      <c r="D42" s="57"/>
      <c r="E42" s="120"/>
      <c r="F42" s="120"/>
      <c r="G42" s="120"/>
      <c r="H42" s="57"/>
      <c r="I42" s="120"/>
      <c r="J42" s="120"/>
      <c r="K42" s="77" t="s">
        <v>31</v>
      </c>
      <c r="L42" s="57"/>
      <c r="M42" s="77" t="s">
        <v>31</v>
      </c>
      <c r="N42" s="77" t="s">
        <v>31</v>
      </c>
      <c r="O42" s="77" t="s">
        <v>31</v>
      </c>
      <c r="P42" s="57"/>
      <c r="Q42" s="120"/>
      <c r="R42" s="120"/>
      <c r="S42" s="120"/>
      <c r="T42" s="124" t="s">
        <v>94</v>
      </c>
      <c r="U42" s="44"/>
      <c r="V42" s="382"/>
      <c r="W42" s="347"/>
      <c r="X42" s="82"/>
      <c r="Y42" s="123"/>
      <c r="Z42" s="336"/>
    </row>
    <row r="43" spans="1:33" ht="23" x14ac:dyDescent="0.3">
      <c r="A43" s="125" t="s">
        <v>355</v>
      </c>
      <c r="B43" s="96" t="s">
        <v>95</v>
      </c>
      <c r="C43" s="93"/>
      <c r="D43" s="57"/>
      <c r="E43" s="77" t="s">
        <v>31</v>
      </c>
      <c r="F43" s="77" t="s">
        <v>31</v>
      </c>
      <c r="G43" s="77" t="s">
        <v>31</v>
      </c>
      <c r="H43" s="57"/>
      <c r="I43" s="77" t="s">
        <v>31</v>
      </c>
      <c r="J43" s="77" t="s">
        <v>31</v>
      </c>
      <c r="K43" s="77" t="s">
        <v>31</v>
      </c>
      <c r="L43" s="57"/>
      <c r="M43" s="77" t="s">
        <v>31</v>
      </c>
      <c r="N43" s="77" t="s">
        <v>31</v>
      </c>
      <c r="O43" s="77" t="s">
        <v>31</v>
      </c>
      <c r="P43" s="57"/>
      <c r="Q43" s="77" t="s">
        <v>31</v>
      </c>
      <c r="R43" s="77" t="s">
        <v>31</v>
      </c>
      <c r="S43" s="77" t="s">
        <v>31</v>
      </c>
      <c r="T43" s="124" t="s">
        <v>96</v>
      </c>
      <c r="U43" s="44"/>
      <c r="V43" s="91">
        <f>20000000/500</f>
        <v>40000</v>
      </c>
      <c r="W43" s="126">
        <f t="shared" ref="W43:W45" si="2">+V43*500</f>
        <v>20000000</v>
      </c>
      <c r="X43" s="82"/>
      <c r="Y43" s="123"/>
      <c r="Z43" s="127" t="s">
        <v>33</v>
      </c>
    </row>
    <row r="44" spans="1:33" ht="23" x14ac:dyDescent="0.3">
      <c r="A44" s="343" t="s">
        <v>356</v>
      </c>
      <c r="B44" s="96" t="s">
        <v>97</v>
      </c>
      <c r="C44" s="93"/>
      <c r="D44" s="57"/>
      <c r="E44" s="77" t="s">
        <v>31</v>
      </c>
      <c r="F44" s="77" t="s">
        <v>31</v>
      </c>
      <c r="G44" s="77" t="s">
        <v>31</v>
      </c>
      <c r="H44" s="57"/>
      <c r="I44" s="77" t="s">
        <v>31</v>
      </c>
      <c r="J44" s="77" t="s">
        <v>31</v>
      </c>
      <c r="K44" s="77" t="s">
        <v>31</v>
      </c>
      <c r="L44" s="57"/>
      <c r="M44" s="77" t="s">
        <v>31</v>
      </c>
      <c r="N44" s="77" t="s">
        <v>31</v>
      </c>
      <c r="O44" s="77" t="s">
        <v>31</v>
      </c>
      <c r="P44" s="57"/>
      <c r="Q44" s="77" t="s">
        <v>31</v>
      </c>
      <c r="R44" s="77" t="s">
        <v>31</v>
      </c>
      <c r="S44" s="77" t="s">
        <v>31</v>
      </c>
      <c r="T44" s="128" t="s">
        <v>98</v>
      </c>
      <c r="U44" s="44"/>
      <c r="V44" s="91">
        <v>0</v>
      </c>
      <c r="W44" s="126">
        <f t="shared" si="2"/>
        <v>0</v>
      </c>
      <c r="X44" s="82"/>
      <c r="Y44" s="123"/>
      <c r="Z44" s="335" t="s">
        <v>33</v>
      </c>
    </row>
    <row r="45" spans="1:33" ht="23" x14ac:dyDescent="0.3">
      <c r="A45" s="344"/>
      <c r="B45" s="104" t="s">
        <v>99</v>
      </c>
      <c r="C45" s="129"/>
      <c r="D45" s="57"/>
      <c r="E45" s="77" t="s">
        <v>31</v>
      </c>
      <c r="F45" s="77" t="s">
        <v>31</v>
      </c>
      <c r="G45" s="77" t="s">
        <v>31</v>
      </c>
      <c r="H45" s="57"/>
      <c r="I45" s="77" t="s">
        <v>31</v>
      </c>
      <c r="J45" s="77" t="s">
        <v>31</v>
      </c>
      <c r="K45" s="77" t="s">
        <v>31</v>
      </c>
      <c r="L45" s="57"/>
      <c r="M45" s="77" t="s">
        <v>31</v>
      </c>
      <c r="N45" s="77" t="s">
        <v>31</v>
      </c>
      <c r="O45" s="77" t="s">
        <v>31</v>
      </c>
      <c r="P45" s="57"/>
      <c r="Q45" s="77" t="s">
        <v>31</v>
      </c>
      <c r="R45" s="77" t="s">
        <v>31</v>
      </c>
      <c r="S45" s="77" t="s">
        <v>31</v>
      </c>
      <c r="T45" s="130" t="s">
        <v>100</v>
      </c>
      <c r="U45" s="44"/>
      <c r="V45" s="339">
        <f>15000000/500</f>
        <v>30000</v>
      </c>
      <c r="W45" s="346">
        <f t="shared" si="2"/>
        <v>15000000</v>
      </c>
      <c r="X45" s="82"/>
      <c r="Y45" s="123"/>
      <c r="Z45" s="374"/>
    </row>
    <row r="46" spans="1:33" x14ac:dyDescent="0.3">
      <c r="A46" s="345"/>
      <c r="B46" s="96" t="s">
        <v>101</v>
      </c>
      <c r="C46" s="93"/>
      <c r="D46" s="57"/>
      <c r="E46" s="77" t="s">
        <v>31</v>
      </c>
      <c r="F46" s="77" t="s">
        <v>31</v>
      </c>
      <c r="G46" s="77" t="s">
        <v>31</v>
      </c>
      <c r="H46" s="57"/>
      <c r="I46" s="77" t="s">
        <v>31</v>
      </c>
      <c r="J46" s="77" t="s">
        <v>31</v>
      </c>
      <c r="K46" s="77" t="s">
        <v>31</v>
      </c>
      <c r="L46" s="57"/>
      <c r="M46" s="77" t="s">
        <v>31</v>
      </c>
      <c r="N46" s="77" t="s">
        <v>31</v>
      </c>
      <c r="O46" s="77" t="s">
        <v>31</v>
      </c>
      <c r="P46" s="57"/>
      <c r="Q46" s="77" t="s">
        <v>31</v>
      </c>
      <c r="R46" s="77" t="s">
        <v>31</v>
      </c>
      <c r="S46" s="77" t="s">
        <v>31</v>
      </c>
      <c r="T46" s="128" t="s">
        <v>102</v>
      </c>
      <c r="U46" s="44"/>
      <c r="V46" s="340"/>
      <c r="W46" s="347"/>
      <c r="X46" s="82"/>
      <c r="Y46" s="123"/>
      <c r="Z46" s="336"/>
    </row>
    <row r="47" spans="1:33" ht="32.65" customHeight="1" x14ac:dyDescent="0.3">
      <c r="A47" s="131" t="s">
        <v>103</v>
      </c>
      <c r="B47" s="132"/>
      <c r="C47" s="132"/>
      <c r="D47" s="111"/>
      <c r="E47" s="111"/>
      <c r="F47" s="111"/>
      <c r="G47" s="111"/>
      <c r="H47" s="111"/>
      <c r="I47" s="111"/>
      <c r="J47" s="111"/>
      <c r="K47" s="111"/>
      <c r="L47" s="111"/>
      <c r="M47" s="111"/>
      <c r="N47" s="111"/>
      <c r="O47" s="111"/>
      <c r="P47" s="111"/>
      <c r="Q47" s="111"/>
      <c r="R47" s="111"/>
      <c r="S47" s="111"/>
      <c r="T47" s="112"/>
      <c r="U47" s="111"/>
      <c r="V47" s="113">
        <f>+SUM(V48:V58)</f>
        <v>151461.53846153832</v>
      </c>
      <c r="W47" s="133">
        <f>+V47*500</f>
        <v>75730769.230769157</v>
      </c>
      <c r="X47" s="114"/>
      <c r="Y47" s="114"/>
      <c r="Z47" s="111"/>
    </row>
    <row r="48" spans="1:33" ht="23" x14ac:dyDescent="0.3">
      <c r="A48" s="343" t="s">
        <v>357</v>
      </c>
      <c r="B48" s="96" t="s">
        <v>104</v>
      </c>
      <c r="C48" s="76"/>
      <c r="D48" s="57"/>
      <c r="E48" s="117"/>
      <c r="F48" s="117"/>
      <c r="G48" s="117"/>
      <c r="H48" s="57"/>
      <c r="I48" s="77" t="s">
        <v>31</v>
      </c>
      <c r="J48" s="117"/>
      <c r="K48" s="117"/>
      <c r="L48" s="57"/>
      <c r="M48" s="117"/>
      <c r="N48" s="117"/>
      <c r="O48" s="117"/>
      <c r="P48" s="57"/>
      <c r="Q48" s="117"/>
      <c r="R48" s="117"/>
      <c r="S48" s="117"/>
      <c r="T48" s="78" t="s">
        <v>105</v>
      </c>
      <c r="U48" s="117"/>
      <c r="V48" s="84">
        <v>500</v>
      </c>
      <c r="W48" s="95">
        <f>+V48*500</f>
        <v>250000</v>
      </c>
      <c r="X48" s="82"/>
      <c r="Y48" s="118"/>
      <c r="Z48" s="335" t="s">
        <v>33</v>
      </c>
    </row>
    <row r="49" spans="1:33" x14ac:dyDescent="0.3">
      <c r="A49" s="344"/>
      <c r="B49" s="96" t="s">
        <v>106</v>
      </c>
      <c r="C49" s="76"/>
      <c r="D49" s="57"/>
      <c r="E49" s="117"/>
      <c r="F49" s="117"/>
      <c r="G49" s="117"/>
      <c r="H49" s="57"/>
      <c r="I49" s="117"/>
      <c r="J49" s="134"/>
      <c r="K49" s="134"/>
      <c r="L49" s="57"/>
      <c r="M49" s="117"/>
      <c r="N49" s="117"/>
      <c r="O49" s="117"/>
      <c r="P49" s="57"/>
      <c r="Q49" s="117"/>
      <c r="R49" s="117"/>
      <c r="S49" s="117"/>
      <c r="T49" s="78" t="s">
        <v>107</v>
      </c>
      <c r="U49" s="117"/>
      <c r="V49" s="91">
        <v>0</v>
      </c>
      <c r="W49" s="95">
        <f t="shared" ref="W49:W58" si="3">+V49*500</f>
        <v>0</v>
      </c>
      <c r="X49" s="82"/>
      <c r="Y49" s="118"/>
      <c r="Z49" s="374"/>
    </row>
    <row r="50" spans="1:33" x14ac:dyDescent="0.3">
      <c r="A50" s="344"/>
      <c r="B50" s="96" t="s">
        <v>108</v>
      </c>
      <c r="C50" s="76"/>
      <c r="D50" s="57"/>
      <c r="E50" s="117"/>
      <c r="F50" s="117"/>
      <c r="G50" s="117"/>
      <c r="H50" s="57"/>
      <c r="I50" s="117"/>
      <c r="J50" s="117"/>
      <c r="K50" s="117"/>
      <c r="L50" s="57"/>
      <c r="M50" s="135" t="s">
        <v>31</v>
      </c>
      <c r="N50" s="117"/>
      <c r="O50" s="117"/>
      <c r="P50" s="57"/>
      <c r="Q50" s="117"/>
      <c r="R50" s="117"/>
      <c r="S50" s="117"/>
      <c r="T50" s="78" t="s">
        <v>109</v>
      </c>
      <c r="U50" s="117"/>
      <c r="V50" s="91">
        <v>0</v>
      </c>
      <c r="W50" s="95">
        <f t="shared" si="3"/>
        <v>0</v>
      </c>
      <c r="X50" s="82"/>
      <c r="Y50" s="118"/>
      <c r="Z50" s="374"/>
    </row>
    <row r="51" spans="1:33" ht="36" customHeight="1" x14ac:dyDescent="0.3">
      <c r="A51" s="344"/>
      <c r="B51" s="136" t="s">
        <v>110</v>
      </c>
      <c r="C51" s="137"/>
      <c r="D51" s="57"/>
      <c r="E51" s="117"/>
      <c r="F51" s="117"/>
      <c r="G51" s="117"/>
      <c r="H51" s="57"/>
      <c r="I51" s="117"/>
      <c r="J51" s="117"/>
      <c r="K51" s="117"/>
      <c r="L51" s="57"/>
      <c r="M51" s="77" t="s">
        <v>31</v>
      </c>
      <c r="N51" s="117"/>
      <c r="O51" s="117"/>
      <c r="P51" s="57"/>
      <c r="Q51" s="117"/>
      <c r="R51" s="117"/>
      <c r="S51" s="117"/>
      <c r="T51" s="78" t="s">
        <v>111</v>
      </c>
      <c r="U51" s="117"/>
      <c r="V51" s="91">
        <f>15000000/500</f>
        <v>30000</v>
      </c>
      <c r="W51" s="95">
        <f t="shared" si="3"/>
        <v>15000000</v>
      </c>
      <c r="X51" s="82"/>
      <c r="Y51" s="118"/>
      <c r="Z51" s="374"/>
    </row>
    <row r="52" spans="1:33" x14ac:dyDescent="0.3">
      <c r="A52" s="345"/>
      <c r="B52" s="138" t="s">
        <v>112</v>
      </c>
      <c r="C52" s="139"/>
      <c r="D52" s="57"/>
      <c r="E52" s="117"/>
      <c r="F52" s="117"/>
      <c r="G52" s="117"/>
      <c r="H52" s="57"/>
      <c r="I52" s="117"/>
      <c r="J52" s="117"/>
      <c r="K52" s="117"/>
      <c r="L52" s="57"/>
      <c r="M52" s="117"/>
      <c r="N52" s="140" t="s">
        <v>31</v>
      </c>
      <c r="O52" s="117"/>
      <c r="P52" s="57"/>
      <c r="Q52" s="117"/>
      <c r="R52" s="117"/>
      <c r="S52" s="117"/>
      <c r="T52" s="78" t="s">
        <v>113</v>
      </c>
      <c r="U52" s="117"/>
      <c r="V52" s="91">
        <v>0</v>
      </c>
      <c r="W52" s="95">
        <f t="shared" si="3"/>
        <v>0</v>
      </c>
      <c r="X52" s="82"/>
      <c r="Y52" s="118"/>
      <c r="Z52" s="336"/>
    </row>
    <row r="53" spans="1:33" ht="22.9" customHeight="1" x14ac:dyDescent="0.3">
      <c r="A53" s="343" t="s">
        <v>358</v>
      </c>
      <c r="B53" s="96" t="s">
        <v>114</v>
      </c>
      <c r="C53" s="76"/>
      <c r="D53" s="57"/>
      <c r="E53" s="117"/>
      <c r="F53" s="117"/>
      <c r="G53" s="117"/>
      <c r="H53" s="57"/>
      <c r="I53" s="117"/>
      <c r="J53" s="117"/>
      <c r="K53" s="117"/>
      <c r="L53" s="57"/>
      <c r="M53" s="117"/>
      <c r="N53" s="117"/>
      <c r="O53" s="117"/>
      <c r="P53" s="57"/>
      <c r="Q53" s="77" t="s">
        <v>31</v>
      </c>
      <c r="R53" s="77" t="s">
        <v>31</v>
      </c>
      <c r="S53" s="77" t="s">
        <v>31</v>
      </c>
      <c r="T53" s="78" t="s">
        <v>115</v>
      </c>
      <c r="U53" s="141"/>
      <c r="V53" s="142"/>
      <c r="W53" s="95">
        <f t="shared" si="3"/>
        <v>0</v>
      </c>
      <c r="X53" s="82"/>
      <c r="Y53" s="143"/>
      <c r="Z53" s="335" t="s">
        <v>116</v>
      </c>
    </row>
    <row r="54" spans="1:33" ht="34.5" x14ac:dyDescent="0.3">
      <c r="A54" s="345"/>
      <c r="B54" s="144" t="s">
        <v>359</v>
      </c>
      <c r="C54" s="145"/>
      <c r="D54" s="57"/>
      <c r="E54" s="77" t="s">
        <v>31</v>
      </c>
      <c r="F54" s="77" t="s">
        <v>31</v>
      </c>
      <c r="G54" s="77" t="s">
        <v>31</v>
      </c>
      <c r="H54" s="57"/>
      <c r="I54" s="77" t="s">
        <v>31</v>
      </c>
      <c r="J54" s="77" t="s">
        <v>31</v>
      </c>
      <c r="K54" s="77" t="s">
        <v>31</v>
      </c>
      <c r="L54" s="57"/>
      <c r="M54" s="77" t="s">
        <v>31</v>
      </c>
      <c r="N54" s="77" t="s">
        <v>31</v>
      </c>
      <c r="O54" s="77" t="s">
        <v>31</v>
      </c>
      <c r="P54" s="57"/>
      <c r="Q54" s="77" t="s">
        <v>31</v>
      </c>
      <c r="R54" s="77" t="s">
        <v>31</v>
      </c>
      <c r="S54" s="77" t="s">
        <v>31</v>
      </c>
      <c r="T54" s="78" t="s">
        <v>117</v>
      </c>
      <c r="U54" s="44"/>
      <c r="V54" s="80">
        <f>42000*2.15384615384615</f>
        <v>90461.538461538308</v>
      </c>
      <c r="W54" s="95">
        <f t="shared" si="3"/>
        <v>45230769.230769157</v>
      </c>
      <c r="X54" s="82"/>
      <c r="Y54" s="123"/>
      <c r="Z54" s="336"/>
    </row>
    <row r="55" spans="1:33" s="6" customFormat="1" ht="23" x14ac:dyDescent="0.25">
      <c r="A55" s="146" t="s">
        <v>360</v>
      </c>
      <c r="B55" s="86" t="s">
        <v>118</v>
      </c>
      <c r="C55" s="147"/>
      <c r="D55" s="57"/>
      <c r="E55" s="77" t="s">
        <v>31</v>
      </c>
      <c r="F55" s="77" t="s">
        <v>31</v>
      </c>
      <c r="G55" s="77" t="s">
        <v>31</v>
      </c>
      <c r="H55" s="57"/>
      <c r="I55" s="77" t="s">
        <v>31</v>
      </c>
      <c r="J55" s="77" t="s">
        <v>31</v>
      </c>
      <c r="K55" s="77" t="s">
        <v>31</v>
      </c>
      <c r="L55" s="57"/>
      <c r="M55" s="77" t="s">
        <v>31</v>
      </c>
      <c r="N55" s="77" t="s">
        <v>31</v>
      </c>
      <c r="O55" s="77" t="s">
        <v>31</v>
      </c>
      <c r="P55" s="57"/>
      <c r="Q55" s="77" t="s">
        <v>31</v>
      </c>
      <c r="R55" s="77" t="s">
        <v>31</v>
      </c>
      <c r="S55" s="77" t="s">
        <v>31</v>
      </c>
      <c r="T55" s="78" t="s">
        <v>119</v>
      </c>
      <c r="U55" s="96"/>
      <c r="V55" s="84">
        <f>250000/500</f>
        <v>500</v>
      </c>
      <c r="W55" s="95">
        <f t="shared" si="3"/>
        <v>250000</v>
      </c>
      <c r="X55" s="82"/>
      <c r="Y55" s="85"/>
      <c r="Z55" s="127" t="s">
        <v>120</v>
      </c>
      <c r="AA55" s="56"/>
      <c r="AB55" s="5"/>
      <c r="AC55" s="5"/>
      <c r="AD55" s="5"/>
      <c r="AE55" s="5"/>
      <c r="AF55" s="5"/>
      <c r="AG55" s="5"/>
    </row>
    <row r="56" spans="1:33" s="6" customFormat="1" x14ac:dyDescent="0.25">
      <c r="A56" s="343" t="s">
        <v>361</v>
      </c>
      <c r="B56" s="96" t="s">
        <v>121</v>
      </c>
      <c r="C56" s="76"/>
      <c r="D56" s="57"/>
      <c r="E56" s="77" t="s">
        <v>31</v>
      </c>
      <c r="F56" s="77" t="s">
        <v>31</v>
      </c>
      <c r="G56" s="77" t="s">
        <v>31</v>
      </c>
      <c r="H56" s="57"/>
      <c r="I56" s="77" t="s">
        <v>31</v>
      </c>
      <c r="J56" s="77" t="s">
        <v>31</v>
      </c>
      <c r="K56" s="77" t="s">
        <v>31</v>
      </c>
      <c r="L56" s="57"/>
      <c r="M56" s="77" t="s">
        <v>31</v>
      </c>
      <c r="N56" s="77" t="s">
        <v>31</v>
      </c>
      <c r="O56" s="77" t="s">
        <v>31</v>
      </c>
      <c r="P56" s="57"/>
      <c r="Q56" s="77" t="s">
        <v>31</v>
      </c>
      <c r="R56" s="77" t="s">
        <v>31</v>
      </c>
      <c r="S56" s="77" t="s">
        <v>31</v>
      </c>
      <c r="T56" s="78" t="s">
        <v>122</v>
      </c>
      <c r="U56" s="96"/>
      <c r="V56" s="91" t="s">
        <v>123</v>
      </c>
      <c r="W56" s="95"/>
      <c r="X56" s="82" t="s">
        <v>3</v>
      </c>
      <c r="Y56" s="85"/>
      <c r="Z56" s="335" t="s">
        <v>33</v>
      </c>
      <c r="AA56" s="56"/>
      <c r="AB56" s="5"/>
      <c r="AC56" s="5"/>
      <c r="AD56" s="5"/>
      <c r="AE56" s="5"/>
      <c r="AF56" s="5"/>
      <c r="AG56" s="5"/>
    </row>
    <row r="57" spans="1:33" s="6" customFormat="1" ht="23" x14ac:dyDescent="0.25">
      <c r="A57" s="344"/>
      <c r="B57" s="96" t="s">
        <v>124</v>
      </c>
      <c r="C57" s="93"/>
      <c r="D57" s="57"/>
      <c r="E57" s="77" t="s">
        <v>31</v>
      </c>
      <c r="F57" s="77" t="s">
        <v>31</v>
      </c>
      <c r="G57" s="77" t="s">
        <v>31</v>
      </c>
      <c r="H57" s="57"/>
      <c r="I57" s="77" t="s">
        <v>31</v>
      </c>
      <c r="J57" s="77" t="s">
        <v>31</v>
      </c>
      <c r="K57" s="77" t="s">
        <v>31</v>
      </c>
      <c r="L57" s="57"/>
      <c r="M57" s="77" t="s">
        <v>31</v>
      </c>
      <c r="N57" s="77" t="s">
        <v>31</v>
      </c>
      <c r="O57" s="77" t="s">
        <v>31</v>
      </c>
      <c r="P57" s="57"/>
      <c r="Q57" s="77" t="s">
        <v>31</v>
      </c>
      <c r="R57" s="77" t="s">
        <v>31</v>
      </c>
      <c r="S57" s="77" t="s">
        <v>31</v>
      </c>
      <c r="T57" s="78" t="s">
        <v>125</v>
      </c>
      <c r="U57" s="96"/>
      <c r="V57" s="142">
        <v>0</v>
      </c>
      <c r="W57" s="95">
        <f t="shared" si="3"/>
        <v>0</v>
      </c>
      <c r="X57" s="82"/>
      <c r="Y57" s="85"/>
      <c r="Z57" s="374"/>
      <c r="AA57" s="56"/>
      <c r="AB57" s="5"/>
      <c r="AC57" s="5"/>
      <c r="AD57" s="5"/>
      <c r="AE57" s="5"/>
      <c r="AF57" s="5"/>
      <c r="AG57" s="5"/>
    </row>
    <row r="58" spans="1:33" s="6" customFormat="1" x14ac:dyDescent="0.25">
      <c r="A58" s="345"/>
      <c r="B58" s="104" t="s">
        <v>362</v>
      </c>
      <c r="C58" s="129"/>
      <c r="D58" s="57"/>
      <c r="E58" s="77" t="s">
        <v>31</v>
      </c>
      <c r="F58" s="77" t="s">
        <v>31</v>
      </c>
      <c r="G58" s="77" t="s">
        <v>31</v>
      </c>
      <c r="H58" s="57"/>
      <c r="I58" s="77" t="s">
        <v>31</v>
      </c>
      <c r="J58" s="77" t="s">
        <v>31</v>
      </c>
      <c r="K58" s="77" t="s">
        <v>31</v>
      </c>
      <c r="L58" s="57"/>
      <c r="M58" s="77" t="s">
        <v>31</v>
      </c>
      <c r="N58" s="77" t="s">
        <v>31</v>
      </c>
      <c r="O58" s="77" t="s">
        <v>31</v>
      </c>
      <c r="P58" s="57"/>
      <c r="Q58" s="77" t="s">
        <v>31</v>
      </c>
      <c r="R58" s="77" t="s">
        <v>31</v>
      </c>
      <c r="S58" s="77" t="s">
        <v>31</v>
      </c>
      <c r="T58" s="78" t="s">
        <v>126</v>
      </c>
      <c r="U58" s="96"/>
      <c r="V58" s="92">
        <f>15000000/500</f>
        <v>30000</v>
      </c>
      <c r="W58" s="95">
        <f t="shared" si="3"/>
        <v>15000000</v>
      </c>
      <c r="X58" s="82"/>
      <c r="Y58" s="85"/>
      <c r="Z58" s="336"/>
      <c r="AA58" s="56"/>
      <c r="AB58" s="5"/>
      <c r="AC58" s="5"/>
      <c r="AD58" s="5"/>
      <c r="AE58" s="5"/>
      <c r="AF58" s="5"/>
      <c r="AG58" s="5"/>
    </row>
    <row r="59" spans="1:33" x14ac:dyDescent="0.3">
      <c r="A59" s="341" t="s">
        <v>127</v>
      </c>
      <c r="B59" s="342"/>
      <c r="C59" s="148"/>
      <c r="D59" s="111"/>
      <c r="E59" s="111"/>
      <c r="F59" s="111"/>
      <c r="G59" s="111"/>
      <c r="H59" s="111"/>
      <c r="I59" s="111"/>
      <c r="J59" s="111"/>
      <c r="K59" s="111"/>
      <c r="L59" s="111"/>
      <c r="M59" s="111"/>
      <c r="N59" s="111"/>
      <c r="O59" s="111"/>
      <c r="P59" s="111"/>
      <c r="Q59" s="111"/>
      <c r="R59" s="111"/>
      <c r="S59" s="111"/>
      <c r="T59" s="112"/>
      <c r="U59" s="111"/>
      <c r="V59" s="113">
        <f>+SUM(V60:V60)</f>
        <v>4000</v>
      </c>
      <c r="W59" s="133">
        <f t="shared" ref="W59:W77" si="4">+V59*500</f>
        <v>2000000</v>
      </c>
      <c r="X59" s="114"/>
      <c r="Y59" s="149"/>
      <c r="Z59" s="111"/>
    </row>
    <row r="60" spans="1:33" s="6" customFormat="1" ht="66" customHeight="1" x14ac:dyDescent="0.25">
      <c r="A60" s="150" t="s">
        <v>363</v>
      </c>
      <c r="B60" s="104" t="s">
        <v>128</v>
      </c>
      <c r="C60" s="129"/>
      <c r="D60" s="57"/>
      <c r="E60" s="77" t="s">
        <v>31</v>
      </c>
      <c r="F60" s="77" t="s">
        <v>31</v>
      </c>
      <c r="G60" s="77" t="s">
        <v>31</v>
      </c>
      <c r="H60" s="57"/>
      <c r="I60" s="77" t="s">
        <v>31</v>
      </c>
      <c r="J60" s="77" t="s">
        <v>31</v>
      </c>
      <c r="K60" s="77" t="s">
        <v>31</v>
      </c>
      <c r="L60" s="57"/>
      <c r="M60" s="77" t="s">
        <v>31</v>
      </c>
      <c r="N60" s="77" t="s">
        <v>31</v>
      </c>
      <c r="O60" s="77" t="s">
        <v>31</v>
      </c>
      <c r="P60" s="57"/>
      <c r="Q60" s="77" t="s">
        <v>31</v>
      </c>
      <c r="R60" s="77" t="s">
        <v>31</v>
      </c>
      <c r="S60" s="77" t="s">
        <v>31</v>
      </c>
      <c r="T60" s="151" t="s">
        <v>129</v>
      </c>
      <c r="U60" s="152"/>
      <c r="V60" s="80">
        <f>2000000/500</f>
        <v>4000</v>
      </c>
      <c r="W60" s="81">
        <f t="shared" si="4"/>
        <v>2000000</v>
      </c>
      <c r="X60" s="82"/>
      <c r="Y60" s="85"/>
      <c r="Z60" s="153" t="s">
        <v>33</v>
      </c>
      <c r="AA60" s="56"/>
      <c r="AB60" s="5"/>
      <c r="AC60" s="5"/>
      <c r="AD60" s="5"/>
      <c r="AE60" s="5"/>
      <c r="AF60" s="5"/>
      <c r="AG60" s="5"/>
    </row>
    <row r="61" spans="1:33" s="9" customFormat="1" ht="29.65" customHeight="1" x14ac:dyDescent="0.35">
      <c r="A61" s="356" t="s">
        <v>130</v>
      </c>
      <c r="B61" s="369"/>
      <c r="C61" s="154"/>
      <c r="D61" s="155"/>
      <c r="E61" s="155"/>
      <c r="F61" s="155"/>
      <c r="G61" s="155"/>
      <c r="H61" s="155"/>
      <c r="I61" s="155"/>
      <c r="J61" s="155"/>
      <c r="K61" s="155"/>
      <c r="L61" s="155"/>
      <c r="M61" s="155"/>
      <c r="N61" s="155"/>
      <c r="O61" s="155"/>
      <c r="P61" s="155"/>
      <c r="Q61" s="155"/>
      <c r="R61" s="155"/>
      <c r="S61" s="155"/>
      <c r="T61" s="154"/>
      <c r="U61" s="156"/>
      <c r="V61" s="157">
        <f>+SUM(V62:V65)</f>
        <v>92983</v>
      </c>
      <c r="W61" s="158">
        <f t="shared" si="4"/>
        <v>46491500</v>
      </c>
      <c r="X61" s="159"/>
      <c r="Y61" s="159"/>
      <c r="Z61" s="160"/>
      <c r="AA61" s="161"/>
      <c r="AB61" s="8"/>
      <c r="AC61" s="8"/>
      <c r="AD61" s="8"/>
      <c r="AE61" s="8"/>
      <c r="AF61" s="8"/>
      <c r="AG61" s="8"/>
    </row>
    <row r="62" spans="1:33" s="14" customFormat="1" ht="55.15" customHeight="1" x14ac:dyDescent="0.25">
      <c r="A62" s="162" t="s">
        <v>364</v>
      </c>
      <c r="B62" s="96" t="s">
        <v>131</v>
      </c>
      <c r="C62" s="93"/>
      <c r="D62" s="57"/>
      <c r="E62" s="79"/>
      <c r="F62" s="163"/>
      <c r="G62" s="79"/>
      <c r="H62" s="57"/>
      <c r="I62" s="163"/>
      <c r="J62" s="163"/>
      <c r="K62" s="163"/>
      <c r="L62" s="57"/>
      <c r="M62" s="163"/>
      <c r="N62" s="163"/>
      <c r="O62" s="163"/>
      <c r="P62" s="57"/>
      <c r="Q62" s="77" t="s">
        <v>31</v>
      </c>
      <c r="R62" s="77" t="s">
        <v>31</v>
      </c>
      <c r="S62" s="77" t="s">
        <v>31</v>
      </c>
      <c r="T62" s="164" t="s">
        <v>132</v>
      </c>
      <c r="U62" s="163"/>
      <c r="V62" s="84">
        <f>73000000*0.3/500</f>
        <v>43800</v>
      </c>
      <c r="W62" s="95">
        <f t="shared" si="4"/>
        <v>21900000</v>
      </c>
      <c r="X62" s="82"/>
      <c r="Y62" s="163"/>
      <c r="Z62" s="104" t="s">
        <v>133</v>
      </c>
      <c r="AA62" s="165"/>
      <c r="AB62" s="13"/>
      <c r="AC62" s="13"/>
      <c r="AD62" s="13"/>
      <c r="AE62" s="13"/>
      <c r="AF62" s="13"/>
      <c r="AG62" s="13"/>
    </row>
    <row r="63" spans="1:33" customFormat="1" ht="34.5" x14ac:dyDescent="0.35">
      <c r="A63" s="166" t="s">
        <v>365</v>
      </c>
      <c r="B63" s="96" t="s">
        <v>134</v>
      </c>
      <c r="C63" s="93"/>
      <c r="D63" s="57"/>
      <c r="E63" s="77" t="s">
        <v>31</v>
      </c>
      <c r="F63" s="77" t="s">
        <v>31</v>
      </c>
      <c r="G63" s="77" t="s">
        <v>31</v>
      </c>
      <c r="H63" s="57"/>
      <c r="I63" s="77" t="s">
        <v>31</v>
      </c>
      <c r="J63" s="77" t="s">
        <v>31</v>
      </c>
      <c r="K63" s="77" t="s">
        <v>31</v>
      </c>
      <c r="L63" s="57"/>
      <c r="M63" s="77" t="s">
        <v>31</v>
      </c>
      <c r="N63" s="77" t="s">
        <v>31</v>
      </c>
      <c r="O63" s="77" t="s">
        <v>31</v>
      </c>
      <c r="P63" s="57"/>
      <c r="Q63" s="77" t="s">
        <v>31</v>
      </c>
      <c r="R63" s="77" t="s">
        <v>31</v>
      </c>
      <c r="S63" s="77" t="s">
        <v>31</v>
      </c>
      <c r="T63" s="78" t="s">
        <v>135</v>
      </c>
      <c r="U63" s="44"/>
      <c r="V63" s="167">
        <f>(2091500+12500000)/500</f>
        <v>29183</v>
      </c>
      <c r="W63" s="95">
        <f t="shared" si="4"/>
        <v>14591500</v>
      </c>
      <c r="X63" s="82"/>
      <c r="Y63" s="168"/>
      <c r="Z63" s="96" t="s">
        <v>33</v>
      </c>
      <c r="AA63" s="169"/>
      <c r="AB63" s="10"/>
      <c r="AC63" s="10"/>
      <c r="AD63" s="10"/>
      <c r="AE63" s="10"/>
      <c r="AF63" s="10"/>
      <c r="AG63" s="10"/>
    </row>
    <row r="64" spans="1:33" customFormat="1" ht="27.4" customHeight="1" x14ac:dyDescent="0.35">
      <c r="A64" s="329" t="s">
        <v>366</v>
      </c>
      <c r="B64" s="76" t="s">
        <v>136</v>
      </c>
      <c r="C64" s="76"/>
      <c r="D64" s="57"/>
      <c r="E64" s="120"/>
      <c r="F64" s="77" t="s">
        <v>31</v>
      </c>
      <c r="G64" s="77" t="s">
        <v>31</v>
      </c>
      <c r="H64" s="57"/>
      <c r="I64" s="77" t="s">
        <v>31</v>
      </c>
      <c r="J64" s="120"/>
      <c r="K64" s="120"/>
      <c r="L64" s="57"/>
      <c r="M64" s="120"/>
      <c r="N64" s="120"/>
      <c r="O64" s="120"/>
      <c r="P64" s="57"/>
      <c r="Q64" s="120"/>
      <c r="R64" s="120"/>
      <c r="S64" s="120"/>
      <c r="T64" s="137"/>
      <c r="U64" s="170"/>
      <c r="V64" s="171"/>
      <c r="W64" s="95">
        <f t="shared" si="4"/>
        <v>0</v>
      </c>
      <c r="X64" s="172"/>
      <c r="Y64" s="173"/>
      <c r="Z64" s="334" t="s">
        <v>33</v>
      </c>
      <c r="AA64" s="169"/>
      <c r="AB64" s="10"/>
      <c r="AC64" s="10"/>
      <c r="AD64" s="10"/>
      <c r="AE64" s="10"/>
      <c r="AF64" s="10"/>
      <c r="AG64" s="10"/>
    </row>
    <row r="65" spans="1:33" customFormat="1" ht="23" x14ac:dyDescent="0.35">
      <c r="A65" s="330"/>
      <c r="B65" s="76" t="s">
        <v>137</v>
      </c>
      <c r="C65" s="76"/>
      <c r="D65" s="57"/>
      <c r="E65" s="120"/>
      <c r="F65" s="120"/>
      <c r="G65" s="120"/>
      <c r="H65" s="57"/>
      <c r="I65" s="77" t="s">
        <v>31</v>
      </c>
      <c r="J65" s="77" t="s">
        <v>31</v>
      </c>
      <c r="K65" s="77" t="s">
        <v>31</v>
      </c>
      <c r="L65" s="57"/>
      <c r="M65" s="120"/>
      <c r="N65" s="120"/>
      <c r="O65" s="120"/>
      <c r="P65" s="57"/>
      <c r="Q65" s="120"/>
      <c r="R65" s="120"/>
      <c r="S65" s="120"/>
      <c r="T65" s="137" t="s">
        <v>138</v>
      </c>
      <c r="U65" s="170"/>
      <c r="V65" s="171">
        <f>10000000/500</f>
        <v>20000</v>
      </c>
      <c r="W65" s="95">
        <f t="shared" si="4"/>
        <v>10000000</v>
      </c>
      <c r="X65" s="172"/>
      <c r="Y65" s="173"/>
      <c r="Z65" s="333"/>
      <c r="AA65" s="169"/>
      <c r="AB65" s="10"/>
      <c r="AC65" s="10"/>
      <c r="AD65" s="10"/>
      <c r="AE65" s="10"/>
      <c r="AF65" s="10"/>
      <c r="AG65" s="10"/>
    </row>
    <row r="66" spans="1:33" customFormat="1" ht="30" customHeight="1" x14ac:dyDescent="0.35">
      <c r="A66" s="174" t="s">
        <v>139</v>
      </c>
      <c r="B66" s="110"/>
      <c r="C66" s="110"/>
      <c r="D66" s="111"/>
      <c r="E66" s="111"/>
      <c r="F66" s="111"/>
      <c r="G66" s="111"/>
      <c r="H66" s="111"/>
      <c r="I66" s="111"/>
      <c r="J66" s="111"/>
      <c r="K66" s="111"/>
      <c r="L66" s="111"/>
      <c r="M66" s="111"/>
      <c r="N66" s="111"/>
      <c r="O66" s="111"/>
      <c r="P66" s="111"/>
      <c r="Q66" s="111"/>
      <c r="R66" s="111"/>
      <c r="S66" s="111"/>
      <c r="T66" s="175"/>
      <c r="U66" s="110"/>
      <c r="V66" s="157">
        <f>+SUM(V67:V71)</f>
        <v>167700</v>
      </c>
      <c r="W66" s="158">
        <f t="shared" si="4"/>
        <v>83850000</v>
      </c>
      <c r="X66" s="176"/>
      <c r="Y66" s="176"/>
      <c r="Z66" s="111"/>
      <c r="AA66" s="169"/>
      <c r="AB66" s="10"/>
      <c r="AC66" s="10"/>
      <c r="AD66" s="10"/>
      <c r="AE66" s="10"/>
      <c r="AF66" s="10"/>
      <c r="AG66" s="10"/>
    </row>
    <row r="67" spans="1:33" customFormat="1" ht="23" x14ac:dyDescent="0.35">
      <c r="A67" s="343" t="s">
        <v>367</v>
      </c>
      <c r="B67" s="96" t="s">
        <v>140</v>
      </c>
      <c r="C67" s="93"/>
      <c r="D67" s="57"/>
      <c r="E67" s="44"/>
      <c r="F67" s="44"/>
      <c r="G67" s="44"/>
      <c r="H67" s="57"/>
      <c r="I67" s="77" t="s">
        <v>31</v>
      </c>
      <c r="J67" s="44"/>
      <c r="K67" s="44"/>
      <c r="L67" s="57"/>
      <c r="M67" s="44"/>
      <c r="N67" s="44"/>
      <c r="O67" s="44"/>
      <c r="P67" s="57"/>
      <c r="Q67" s="44"/>
      <c r="R67" s="44"/>
      <c r="S67" s="44"/>
      <c r="T67" s="78" t="s">
        <v>141</v>
      </c>
      <c r="U67" s="44"/>
      <c r="V67" s="84">
        <f>500000/500</f>
        <v>1000</v>
      </c>
      <c r="W67" s="95">
        <f t="shared" si="4"/>
        <v>500000</v>
      </c>
      <c r="X67" s="82"/>
      <c r="Y67" s="168"/>
      <c r="Z67" s="334" t="s">
        <v>33</v>
      </c>
      <c r="AA67" s="169"/>
      <c r="AB67" s="10"/>
      <c r="AC67" s="10"/>
      <c r="AD67" s="10"/>
      <c r="AE67" s="10"/>
      <c r="AF67" s="10"/>
      <c r="AG67" s="10"/>
    </row>
    <row r="68" spans="1:33" customFormat="1" ht="23" x14ac:dyDescent="0.35">
      <c r="A68" s="345"/>
      <c r="B68" s="96" t="s">
        <v>142</v>
      </c>
      <c r="C68" s="93"/>
      <c r="D68" s="57"/>
      <c r="E68" s="44"/>
      <c r="F68" s="44"/>
      <c r="G68" s="44"/>
      <c r="H68" s="57"/>
      <c r="I68" s="44"/>
      <c r="J68" s="77" t="s">
        <v>31</v>
      </c>
      <c r="K68" s="77" t="s">
        <v>31</v>
      </c>
      <c r="L68" s="57"/>
      <c r="M68" s="44"/>
      <c r="N68" s="44"/>
      <c r="O68" s="44"/>
      <c r="P68" s="57"/>
      <c r="Q68" s="44"/>
      <c r="R68" s="44"/>
      <c r="S68" s="44"/>
      <c r="T68" s="78" t="s">
        <v>143</v>
      </c>
      <c r="U68" s="44"/>
      <c r="V68" s="84">
        <f>5000000/500</f>
        <v>10000</v>
      </c>
      <c r="W68" s="95">
        <f t="shared" si="4"/>
        <v>5000000</v>
      </c>
      <c r="X68" s="82"/>
      <c r="Y68" s="168"/>
      <c r="Z68" s="333"/>
      <c r="AA68" s="169"/>
      <c r="AB68" s="10"/>
      <c r="AC68" s="10"/>
      <c r="AD68" s="10"/>
      <c r="AE68" s="10"/>
      <c r="AF68" s="10"/>
      <c r="AG68" s="10"/>
    </row>
    <row r="69" spans="1:33" s="9" customFormat="1" ht="23" x14ac:dyDescent="0.25">
      <c r="A69" s="136" t="s">
        <v>368</v>
      </c>
      <c r="B69" s="96" t="s">
        <v>144</v>
      </c>
      <c r="C69" s="93"/>
      <c r="D69" s="57"/>
      <c r="E69" s="77" t="s">
        <v>31</v>
      </c>
      <c r="F69" s="77" t="s">
        <v>31</v>
      </c>
      <c r="G69" s="77" t="s">
        <v>31</v>
      </c>
      <c r="H69" s="57"/>
      <c r="I69" s="77" t="s">
        <v>31</v>
      </c>
      <c r="J69" s="77" t="s">
        <v>31</v>
      </c>
      <c r="K69" s="77" t="s">
        <v>31</v>
      </c>
      <c r="L69" s="57"/>
      <c r="M69" s="77" t="s">
        <v>31</v>
      </c>
      <c r="N69" s="77" t="s">
        <v>31</v>
      </c>
      <c r="O69" s="77" t="s">
        <v>31</v>
      </c>
      <c r="P69" s="57"/>
      <c r="Q69" s="77" t="s">
        <v>31</v>
      </c>
      <c r="R69" s="77" t="s">
        <v>31</v>
      </c>
      <c r="S69" s="77" t="s">
        <v>31</v>
      </c>
      <c r="T69" s="78" t="s">
        <v>145</v>
      </c>
      <c r="U69" s="96"/>
      <c r="V69" s="84">
        <f>75000000/500</f>
        <v>150000</v>
      </c>
      <c r="W69" s="95">
        <f t="shared" si="4"/>
        <v>75000000</v>
      </c>
      <c r="X69" s="82"/>
      <c r="Y69" s="177"/>
      <c r="Z69" s="96" t="s">
        <v>33</v>
      </c>
      <c r="AA69" s="161"/>
      <c r="AB69" s="8"/>
      <c r="AC69" s="8"/>
      <c r="AD69" s="8"/>
      <c r="AE69" s="8"/>
      <c r="AF69" s="8"/>
      <c r="AG69" s="8"/>
    </row>
    <row r="70" spans="1:33" s="9" customFormat="1" ht="27.65" customHeight="1" x14ac:dyDescent="0.25">
      <c r="A70" s="329" t="s">
        <v>369</v>
      </c>
      <c r="B70" s="76" t="s">
        <v>146</v>
      </c>
      <c r="C70" s="76"/>
      <c r="D70" s="57"/>
      <c r="E70" s="77"/>
      <c r="F70" s="77" t="s">
        <v>31</v>
      </c>
      <c r="G70" s="77" t="s">
        <v>31</v>
      </c>
      <c r="H70" s="57"/>
      <c r="I70" s="77" t="s">
        <v>31</v>
      </c>
      <c r="J70" s="77" t="s">
        <v>31</v>
      </c>
      <c r="K70" s="77" t="s">
        <v>31</v>
      </c>
      <c r="L70" s="57"/>
      <c r="M70" s="77" t="s">
        <v>31</v>
      </c>
      <c r="N70" s="77" t="s">
        <v>31</v>
      </c>
      <c r="O70" s="77" t="s">
        <v>31</v>
      </c>
      <c r="P70" s="57"/>
      <c r="Q70" s="77" t="s">
        <v>31</v>
      </c>
      <c r="R70" s="77" t="s">
        <v>31</v>
      </c>
      <c r="S70" s="77" t="s">
        <v>31</v>
      </c>
      <c r="T70" s="137" t="s">
        <v>147</v>
      </c>
      <c r="U70" s="76"/>
      <c r="V70" s="178">
        <v>500</v>
      </c>
      <c r="W70" s="179">
        <f>+V70*500</f>
        <v>250000</v>
      </c>
      <c r="X70" s="172"/>
      <c r="Y70" s="180"/>
      <c r="Z70" s="348" t="s">
        <v>33</v>
      </c>
      <c r="AA70" s="161"/>
      <c r="AB70" s="8"/>
      <c r="AC70" s="8"/>
      <c r="AD70" s="8"/>
      <c r="AE70" s="8"/>
      <c r="AF70" s="8"/>
      <c r="AG70" s="8"/>
    </row>
    <row r="71" spans="1:33" s="9" customFormat="1" ht="22.9" customHeight="1" x14ac:dyDescent="0.25">
      <c r="A71" s="330"/>
      <c r="B71" s="76" t="s">
        <v>148</v>
      </c>
      <c r="C71" s="76"/>
      <c r="D71" s="57"/>
      <c r="E71" s="77"/>
      <c r="F71" s="77"/>
      <c r="G71" s="77" t="s">
        <v>31</v>
      </c>
      <c r="H71" s="57"/>
      <c r="I71" s="77" t="s">
        <v>31</v>
      </c>
      <c r="J71" s="77" t="s">
        <v>31</v>
      </c>
      <c r="K71" s="77" t="s">
        <v>31</v>
      </c>
      <c r="L71" s="57"/>
      <c r="M71" s="77" t="s">
        <v>31</v>
      </c>
      <c r="N71" s="77" t="s">
        <v>31</v>
      </c>
      <c r="O71" s="77" t="s">
        <v>31</v>
      </c>
      <c r="P71" s="57"/>
      <c r="Q71" s="77" t="s">
        <v>31</v>
      </c>
      <c r="R71" s="77" t="s">
        <v>31</v>
      </c>
      <c r="S71" s="77" t="s">
        <v>31</v>
      </c>
      <c r="T71" s="137" t="s">
        <v>149</v>
      </c>
      <c r="U71" s="76"/>
      <c r="V71" s="178">
        <f>50000*(19+22+21)/500</f>
        <v>6200</v>
      </c>
      <c r="W71" s="179">
        <f>+V71*500</f>
        <v>3100000</v>
      </c>
      <c r="X71" s="172"/>
      <c r="Y71" s="180"/>
      <c r="Z71" s="349"/>
      <c r="AA71" s="161"/>
      <c r="AB71" s="8"/>
      <c r="AC71" s="8"/>
      <c r="AD71" s="8"/>
      <c r="AE71" s="8"/>
      <c r="AF71" s="8"/>
      <c r="AG71" s="8"/>
    </row>
    <row r="72" spans="1:33" customFormat="1" ht="14.5" x14ac:dyDescent="0.35">
      <c r="A72" s="341" t="s">
        <v>150</v>
      </c>
      <c r="B72" s="342"/>
      <c r="C72" s="175"/>
      <c r="D72" s="181"/>
      <c r="E72" s="181"/>
      <c r="F72" s="181"/>
      <c r="G72" s="181"/>
      <c r="H72" s="181"/>
      <c r="I72" s="181"/>
      <c r="J72" s="181"/>
      <c r="K72" s="181"/>
      <c r="L72" s="181"/>
      <c r="M72" s="181"/>
      <c r="N72" s="181"/>
      <c r="O72" s="181"/>
      <c r="P72" s="181"/>
      <c r="Q72" s="181"/>
      <c r="R72" s="181"/>
      <c r="S72" s="181"/>
      <c r="T72" s="182"/>
      <c r="U72" s="183"/>
      <c r="V72" s="184">
        <f>+SUM(V73:V74)</f>
        <v>11000</v>
      </c>
      <c r="W72" s="319">
        <f t="shared" si="4"/>
        <v>5500000</v>
      </c>
      <c r="X72" s="185">
        <f>+SUM(X73:X74)</f>
        <v>15000</v>
      </c>
      <c r="Y72" s="185"/>
      <c r="Z72" s="186"/>
      <c r="AA72" s="169"/>
      <c r="AB72" s="10"/>
      <c r="AC72" s="10"/>
      <c r="AD72" s="10"/>
      <c r="AE72" s="10"/>
      <c r="AF72" s="10"/>
      <c r="AG72" s="10"/>
    </row>
    <row r="73" spans="1:33" customFormat="1" ht="14.5" x14ac:dyDescent="0.35">
      <c r="A73" s="343" t="s">
        <v>370</v>
      </c>
      <c r="B73" s="104" t="s">
        <v>151</v>
      </c>
      <c r="C73" s="129"/>
      <c r="D73" s="57"/>
      <c r="E73" s="77" t="s">
        <v>31</v>
      </c>
      <c r="F73" s="77" t="s">
        <v>31</v>
      </c>
      <c r="G73" s="77" t="s">
        <v>31</v>
      </c>
      <c r="H73" s="57"/>
      <c r="I73" s="77" t="s">
        <v>31</v>
      </c>
      <c r="J73" s="77" t="s">
        <v>31</v>
      </c>
      <c r="K73" s="77" t="s">
        <v>31</v>
      </c>
      <c r="L73" s="57"/>
      <c r="M73" s="77" t="s">
        <v>31</v>
      </c>
      <c r="N73" s="77" t="s">
        <v>31</v>
      </c>
      <c r="O73" s="77" t="s">
        <v>31</v>
      </c>
      <c r="P73" s="57"/>
      <c r="Q73" s="77" t="s">
        <v>31</v>
      </c>
      <c r="R73" s="77" t="s">
        <v>31</v>
      </c>
      <c r="S73" s="77" t="s">
        <v>31</v>
      </c>
      <c r="T73" s="78" t="s">
        <v>152</v>
      </c>
      <c r="U73" s="44"/>
      <c r="V73" s="167">
        <f>500000/500</f>
        <v>1000</v>
      </c>
      <c r="W73" s="187">
        <f t="shared" si="4"/>
        <v>500000</v>
      </c>
      <c r="X73" s="82"/>
      <c r="Y73" s="188"/>
      <c r="Z73" s="360" t="s">
        <v>66</v>
      </c>
      <c r="AA73" s="169"/>
      <c r="AB73" s="10"/>
      <c r="AC73" s="10"/>
      <c r="AD73" s="10"/>
      <c r="AE73" s="10"/>
      <c r="AF73" s="10"/>
      <c r="AG73" s="10"/>
    </row>
    <row r="74" spans="1:33" customFormat="1" ht="27.4" customHeight="1" x14ac:dyDescent="0.35">
      <c r="A74" s="345"/>
      <c r="B74" s="104" t="s">
        <v>153</v>
      </c>
      <c r="C74" s="129"/>
      <c r="D74" s="57"/>
      <c r="E74" s="77" t="s">
        <v>31</v>
      </c>
      <c r="F74" s="77" t="s">
        <v>31</v>
      </c>
      <c r="G74" s="77" t="s">
        <v>31</v>
      </c>
      <c r="H74" s="57"/>
      <c r="I74" s="77" t="s">
        <v>31</v>
      </c>
      <c r="J74" s="77" t="s">
        <v>31</v>
      </c>
      <c r="K74" s="77" t="s">
        <v>31</v>
      </c>
      <c r="L74" s="57"/>
      <c r="M74" s="77" t="s">
        <v>31</v>
      </c>
      <c r="N74" s="77" t="s">
        <v>31</v>
      </c>
      <c r="O74" s="77" t="s">
        <v>31</v>
      </c>
      <c r="P74" s="57"/>
      <c r="Q74" s="77" t="s">
        <v>31</v>
      </c>
      <c r="R74" s="77" t="s">
        <v>31</v>
      </c>
      <c r="S74" s="77" t="s">
        <v>31</v>
      </c>
      <c r="T74" s="189" t="s">
        <v>154</v>
      </c>
      <c r="U74" s="190"/>
      <c r="V74" s="191">
        <f>5000000/500</f>
        <v>10000</v>
      </c>
      <c r="W74" s="187">
        <f t="shared" si="4"/>
        <v>5000000</v>
      </c>
      <c r="X74" s="82">
        <v>15000</v>
      </c>
      <c r="Y74" s="192"/>
      <c r="Z74" s="361"/>
      <c r="AA74" s="169"/>
      <c r="AB74" s="10"/>
      <c r="AC74" s="10"/>
      <c r="AD74" s="10"/>
      <c r="AE74" s="10"/>
      <c r="AF74" s="10"/>
      <c r="AG74" s="10"/>
    </row>
    <row r="75" spans="1:33" customFormat="1" ht="14.5" x14ac:dyDescent="0.35">
      <c r="A75" s="59" t="s">
        <v>155</v>
      </c>
      <c r="B75" s="61"/>
      <c r="C75" s="61"/>
      <c r="D75" s="62"/>
      <c r="E75" s="62"/>
      <c r="F75" s="62"/>
      <c r="G75" s="62"/>
      <c r="H75" s="62"/>
      <c r="I75" s="62"/>
      <c r="J75" s="62"/>
      <c r="K75" s="62"/>
      <c r="L75" s="62"/>
      <c r="M75" s="62"/>
      <c r="N75" s="62"/>
      <c r="O75" s="62"/>
      <c r="P75" s="62"/>
      <c r="Q75" s="62"/>
      <c r="R75" s="62"/>
      <c r="S75" s="62"/>
      <c r="T75" s="193"/>
      <c r="U75" s="61"/>
      <c r="V75" s="194">
        <f>+V76+V88+V99</f>
        <v>419000</v>
      </c>
      <c r="W75" s="320">
        <f t="shared" si="4"/>
        <v>209500000</v>
      </c>
      <c r="X75" s="195"/>
      <c r="Y75" s="196"/>
      <c r="Z75" s="197"/>
      <c r="AA75" s="169"/>
      <c r="AB75" s="10"/>
      <c r="AC75" s="10"/>
      <c r="AD75" s="10"/>
      <c r="AE75" s="10"/>
      <c r="AF75" s="10"/>
      <c r="AG75" s="10"/>
    </row>
    <row r="76" spans="1:33" customFormat="1" ht="14.5" x14ac:dyDescent="0.35">
      <c r="A76" s="109" t="s">
        <v>156</v>
      </c>
      <c r="B76" s="110"/>
      <c r="C76" s="110"/>
      <c r="D76" s="111"/>
      <c r="E76" s="111"/>
      <c r="F76" s="111"/>
      <c r="G76" s="111"/>
      <c r="H76" s="111"/>
      <c r="I76" s="111"/>
      <c r="J76" s="111"/>
      <c r="K76" s="111"/>
      <c r="L76" s="111"/>
      <c r="M76" s="111"/>
      <c r="N76" s="111"/>
      <c r="O76" s="111"/>
      <c r="P76" s="111"/>
      <c r="Q76" s="111"/>
      <c r="R76" s="111"/>
      <c r="S76" s="111"/>
      <c r="T76" s="175"/>
      <c r="U76" s="110"/>
      <c r="V76" s="157">
        <f>+SUM(V77:V87)</f>
        <v>169000</v>
      </c>
      <c r="W76" s="158">
        <f t="shared" si="4"/>
        <v>84500000</v>
      </c>
      <c r="X76" s="176"/>
      <c r="Y76" s="176"/>
      <c r="Z76" s="198"/>
      <c r="AA76" s="169"/>
      <c r="AB76" s="10"/>
      <c r="AC76" s="10"/>
      <c r="AD76" s="10"/>
      <c r="AE76" s="10"/>
      <c r="AF76" s="10"/>
      <c r="AG76" s="10"/>
    </row>
    <row r="77" spans="1:33" customFormat="1" ht="14.5" x14ac:dyDescent="0.35">
      <c r="A77" s="343" t="s">
        <v>371</v>
      </c>
      <c r="B77" s="96" t="s">
        <v>157</v>
      </c>
      <c r="C77" s="93"/>
      <c r="D77" s="57"/>
      <c r="E77" s="77" t="s">
        <v>31</v>
      </c>
      <c r="F77" s="77" t="s">
        <v>31</v>
      </c>
      <c r="G77" s="77" t="s">
        <v>31</v>
      </c>
      <c r="H77" s="57"/>
      <c r="I77" s="77" t="s">
        <v>31</v>
      </c>
      <c r="J77" s="77" t="s">
        <v>31</v>
      </c>
      <c r="K77" s="77" t="s">
        <v>31</v>
      </c>
      <c r="L77" s="57"/>
      <c r="M77" s="77" t="s">
        <v>31</v>
      </c>
      <c r="N77" s="77" t="s">
        <v>31</v>
      </c>
      <c r="O77" s="77" t="s">
        <v>31</v>
      </c>
      <c r="P77" s="57"/>
      <c r="Q77" s="44"/>
      <c r="R77" s="44"/>
      <c r="S77" s="44"/>
      <c r="T77" s="348" t="s">
        <v>158</v>
      </c>
      <c r="U77" s="44"/>
      <c r="V77" s="84">
        <v>0</v>
      </c>
      <c r="W77" s="95">
        <f t="shared" si="4"/>
        <v>0</v>
      </c>
      <c r="X77" s="82"/>
      <c r="Y77" s="199"/>
      <c r="Z77" s="334" t="s">
        <v>33</v>
      </c>
      <c r="AA77" s="169"/>
      <c r="AB77" s="10"/>
      <c r="AC77" s="10"/>
      <c r="AD77" s="10"/>
      <c r="AE77" s="10"/>
      <c r="AF77" s="10"/>
      <c r="AG77" s="10"/>
    </row>
    <row r="78" spans="1:33" customFormat="1" ht="14.5" x14ac:dyDescent="0.35">
      <c r="A78" s="344"/>
      <c r="B78" s="96" t="s">
        <v>159</v>
      </c>
      <c r="C78" s="93"/>
      <c r="D78" s="57"/>
      <c r="E78" s="77" t="s">
        <v>31</v>
      </c>
      <c r="F78" s="77" t="s">
        <v>31</v>
      </c>
      <c r="G78" s="77" t="s">
        <v>31</v>
      </c>
      <c r="H78" s="57"/>
      <c r="I78" s="77" t="s">
        <v>31</v>
      </c>
      <c r="J78" s="77" t="s">
        <v>31</v>
      </c>
      <c r="K78" s="77" t="s">
        <v>31</v>
      </c>
      <c r="L78" s="57"/>
      <c r="M78" s="77" t="s">
        <v>31</v>
      </c>
      <c r="N78" s="77" t="s">
        <v>31</v>
      </c>
      <c r="O78" s="77" t="s">
        <v>31</v>
      </c>
      <c r="P78" s="57"/>
      <c r="Q78" s="44"/>
      <c r="R78" s="44"/>
      <c r="S78" s="44"/>
      <c r="T78" s="355"/>
      <c r="U78" s="44"/>
      <c r="V78" s="84">
        <v>0</v>
      </c>
      <c r="W78" s="95">
        <f t="shared" ref="W78:W87" si="5">+V78*500</f>
        <v>0</v>
      </c>
      <c r="X78" s="82"/>
      <c r="Y78" s="199"/>
      <c r="Z78" s="332"/>
      <c r="AA78" s="169"/>
      <c r="AB78" s="10"/>
      <c r="AC78" s="10"/>
      <c r="AD78" s="10"/>
      <c r="AE78" s="10"/>
      <c r="AF78" s="10"/>
      <c r="AG78" s="10"/>
    </row>
    <row r="79" spans="1:33" customFormat="1" ht="42" customHeight="1" x14ac:dyDescent="0.35">
      <c r="A79" s="344"/>
      <c r="B79" s="96" t="s">
        <v>160</v>
      </c>
      <c r="C79" s="93"/>
      <c r="D79" s="57"/>
      <c r="E79" s="77" t="s">
        <v>31</v>
      </c>
      <c r="F79" s="77" t="s">
        <v>31</v>
      </c>
      <c r="G79" s="77" t="s">
        <v>31</v>
      </c>
      <c r="H79" s="57"/>
      <c r="I79" s="77" t="s">
        <v>31</v>
      </c>
      <c r="J79" s="77" t="s">
        <v>31</v>
      </c>
      <c r="K79" s="77" t="s">
        <v>31</v>
      </c>
      <c r="L79" s="57"/>
      <c r="M79" s="77" t="s">
        <v>31</v>
      </c>
      <c r="N79" s="77" t="s">
        <v>31</v>
      </c>
      <c r="O79" s="77" t="s">
        <v>31</v>
      </c>
      <c r="P79" s="57"/>
      <c r="Q79" s="44"/>
      <c r="R79" s="44"/>
      <c r="S79" s="44"/>
      <c r="T79" s="355"/>
      <c r="U79" s="44"/>
      <c r="V79" s="84">
        <v>125000</v>
      </c>
      <c r="W79" s="95">
        <f t="shared" si="5"/>
        <v>62500000</v>
      </c>
      <c r="X79" s="82"/>
      <c r="Y79" s="199"/>
      <c r="Z79" s="332"/>
      <c r="AA79" s="200"/>
      <c r="AB79" s="10"/>
      <c r="AC79" s="10"/>
      <c r="AD79" s="10"/>
      <c r="AE79" s="10"/>
      <c r="AF79" s="10"/>
      <c r="AG79" s="10"/>
    </row>
    <row r="80" spans="1:33" customFormat="1" ht="14.5" x14ac:dyDescent="0.35">
      <c r="A80" s="343" t="s">
        <v>372</v>
      </c>
      <c r="B80" s="96" t="s">
        <v>157</v>
      </c>
      <c r="C80" s="93"/>
      <c r="D80" s="57"/>
      <c r="E80" s="77" t="s">
        <v>31</v>
      </c>
      <c r="F80" s="44"/>
      <c r="G80" s="44"/>
      <c r="H80" s="57"/>
      <c r="I80" s="44"/>
      <c r="J80" s="44"/>
      <c r="K80" s="44"/>
      <c r="L80" s="57"/>
      <c r="M80" s="44"/>
      <c r="N80" s="44"/>
      <c r="O80" s="44"/>
      <c r="P80" s="57"/>
      <c r="Q80" s="44"/>
      <c r="R80" s="44"/>
      <c r="S80" s="44"/>
      <c r="T80" s="348" t="s">
        <v>161</v>
      </c>
      <c r="U80" s="44"/>
      <c r="V80" s="167"/>
      <c r="W80" s="95">
        <f t="shared" si="5"/>
        <v>0</v>
      </c>
      <c r="X80" s="82"/>
      <c r="Y80" s="188"/>
      <c r="Z80" s="334" t="s">
        <v>33</v>
      </c>
      <c r="AA80" s="169"/>
      <c r="AB80" s="10"/>
      <c r="AC80" s="10"/>
      <c r="AD80" s="10"/>
      <c r="AE80" s="10"/>
      <c r="AF80" s="10"/>
      <c r="AG80" s="10"/>
    </row>
    <row r="81" spans="1:33" customFormat="1" ht="14.5" x14ac:dyDescent="0.35">
      <c r="A81" s="344"/>
      <c r="B81" s="96" t="s">
        <v>162</v>
      </c>
      <c r="C81" s="93"/>
      <c r="D81" s="57"/>
      <c r="E81" s="77" t="s">
        <v>31</v>
      </c>
      <c r="F81" s="77" t="s">
        <v>31</v>
      </c>
      <c r="G81" s="77" t="s">
        <v>31</v>
      </c>
      <c r="H81" s="57"/>
      <c r="I81" s="77" t="s">
        <v>31</v>
      </c>
      <c r="J81" s="77" t="s">
        <v>31</v>
      </c>
      <c r="K81" s="77" t="s">
        <v>31</v>
      </c>
      <c r="L81" s="57"/>
      <c r="M81" s="44"/>
      <c r="N81" s="44"/>
      <c r="O81" s="44"/>
      <c r="P81" s="57"/>
      <c r="Q81" s="44"/>
      <c r="R81" s="44"/>
      <c r="S81" s="44"/>
      <c r="T81" s="355"/>
      <c r="U81" s="44"/>
      <c r="V81" s="167"/>
      <c r="W81" s="95">
        <f t="shared" si="5"/>
        <v>0</v>
      </c>
      <c r="X81" s="82"/>
      <c r="Y81" s="188"/>
      <c r="Z81" s="332"/>
      <c r="AA81" s="169"/>
      <c r="AB81" s="10"/>
      <c r="AC81" s="10"/>
      <c r="AD81" s="10"/>
      <c r="AE81" s="10"/>
      <c r="AF81" s="10"/>
      <c r="AG81" s="10"/>
    </row>
    <row r="82" spans="1:33" customFormat="1" ht="23" x14ac:dyDescent="0.35">
      <c r="A82" s="345"/>
      <c r="B82" s="96" t="s">
        <v>163</v>
      </c>
      <c r="C82" s="93"/>
      <c r="D82" s="57"/>
      <c r="E82" s="44"/>
      <c r="F82" s="44"/>
      <c r="G82" s="44"/>
      <c r="H82" s="57"/>
      <c r="I82" s="44"/>
      <c r="J82" s="77" t="s">
        <v>31</v>
      </c>
      <c r="K82" s="77" t="s">
        <v>31</v>
      </c>
      <c r="L82" s="57"/>
      <c r="M82" s="44"/>
      <c r="N82" s="44"/>
      <c r="O82" s="44"/>
      <c r="P82" s="57"/>
      <c r="Q82" s="44"/>
      <c r="R82" s="44"/>
      <c r="S82" s="44"/>
      <c r="T82" s="355"/>
      <c r="U82" s="44"/>
      <c r="V82" s="167">
        <f>12000000/500</f>
        <v>24000</v>
      </c>
      <c r="W82" s="95">
        <f t="shared" si="5"/>
        <v>12000000</v>
      </c>
      <c r="X82" s="82"/>
      <c r="Y82" s="201"/>
      <c r="Z82" s="333"/>
      <c r="AA82" s="169"/>
      <c r="AB82" s="10"/>
      <c r="AC82" s="10"/>
      <c r="AD82" s="10"/>
      <c r="AE82" s="10"/>
      <c r="AF82" s="10"/>
      <c r="AG82" s="10"/>
    </row>
    <row r="83" spans="1:33" customFormat="1" ht="14.5" x14ac:dyDescent="0.35">
      <c r="A83" s="343" t="s">
        <v>373</v>
      </c>
      <c r="B83" s="96" t="s">
        <v>164</v>
      </c>
      <c r="C83" s="93"/>
      <c r="D83" s="57"/>
      <c r="E83" s="77" t="s">
        <v>31</v>
      </c>
      <c r="F83" s="44"/>
      <c r="G83" s="120"/>
      <c r="H83" s="57"/>
      <c r="I83" s="120"/>
      <c r="J83" s="120"/>
      <c r="K83" s="120"/>
      <c r="L83" s="57"/>
      <c r="M83" s="120"/>
      <c r="N83" s="120"/>
      <c r="O83" s="120"/>
      <c r="P83" s="57"/>
      <c r="Q83" s="44"/>
      <c r="R83" s="44"/>
      <c r="S83" s="44"/>
      <c r="T83" s="348" t="s">
        <v>165</v>
      </c>
      <c r="U83" s="44"/>
      <c r="V83" s="167">
        <v>0</v>
      </c>
      <c r="W83" s="95">
        <f t="shared" si="5"/>
        <v>0</v>
      </c>
      <c r="X83" s="82"/>
      <c r="Y83" s="188"/>
      <c r="Z83" s="334" t="s">
        <v>33</v>
      </c>
      <c r="AA83" s="169"/>
      <c r="AB83" s="10"/>
      <c r="AC83" s="10"/>
      <c r="AD83" s="10"/>
      <c r="AE83" s="10"/>
      <c r="AF83" s="10"/>
      <c r="AG83" s="10"/>
    </row>
    <row r="84" spans="1:33" customFormat="1" ht="14.5" x14ac:dyDescent="0.35">
      <c r="A84" s="344"/>
      <c r="B84" s="96" t="s">
        <v>166</v>
      </c>
      <c r="C84" s="93"/>
      <c r="D84" s="57"/>
      <c r="E84" s="77" t="s">
        <v>31</v>
      </c>
      <c r="F84" s="44"/>
      <c r="G84" s="120"/>
      <c r="H84" s="57"/>
      <c r="I84" s="120"/>
      <c r="J84" s="120"/>
      <c r="K84" s="120"/>
      <c r="L84" s="57"/>
      <c r="M84" s="120"/>
      <c r="N84" s="120"/>
      <c r="O84" s="120"/>
      <c r="P84" s="57"/>
      <c r="Q84" s="44"/>
      <c r="R84" s="44"/>
      <c r="S84" s="44"/>
      <c r="T84" s="355"/>
      <c r="U84" s="44"/>
      <c r="V84" s="167">
        <v>0</v>
      </c>
      <c r="W84" s="95">
        <f t="shared" si="5"/>
        <v>0</v>
      </c>
      <c r="X84" s="82"/>
      <c r="Y84" s="188"/>
      <c r="Z84" s="332"/>
      <c r="AA84" s="169"/>
      <c r="AB84" s="10"/>
      <c r="AC84" s="10"/>
      <c r="AD84" s="10"/>
      <c r="AE84" s="10"/>
      <c r="AF84" s="10"/>
      <c r="AG84" s="10"/>
    </row>
    <row r="85" spans="1:33" customFormat="1" ht="14.5" x14ac:dyDescent="0.35">
      <c r="A85" s="344"/>
      <c r="B85" s="96" t="s">
        <v>167</v>
      </c>
      <c r="C85" s="93"/>
      <c r="D85" s="57"/>
      <c r="E85" s="77" t="s">
        <v>31</v>
      </c>
      <c r="F85" s="44"/>
      <c r="G85" s="120"/>
      <c r="H85" s="57"/>
      <c r="I85" s="120"/>
      <c r="J85" s="120"/>
      <c r="K85" s="120"/>
      <c r="L85" s="57"/>
      <c r="M85" s="120"/>
      <c r="N85" s="120"/>
      <c r="O85" s="120"/>
      <c r="P85" s="57"/>
      <c r="Q85" s="44"/>
      <c r="R85" s="44"/>
      <c r="S85" s="44"/>
      <c r="T85" s="355"/>
      <c r="U85" s="44"/>
      <c r="V85" s="167">
        <v>0</v>
      </c>
      <c r="W85" s="95">
        <f t="shared" si="5"/>
        <v>0</v>
      </c>
      <c r="X85" s="82"/>
      <c r="Y85" s="188"/>
      <c r="Z85" s="332"/>
      <c r="AA85" s="169"/>
      <c r="AB85" s="10"/>
      <c r="AC85" s="10"/>
      <c r="AD85" s="10"/>
      <c r="AE85" s="10"/>
      <c r="AF85" s="10"/>
      <c r="AG85" s="10"/>
    </row>
    <row r="86" spans="1:33" customFormat="1" ht="14.5" x14ac:dyDescent="0.35">
      <c r="A86" s="344"/>
      <c r="B86" s="96" t="s">
        <v>168</v>
      </c>
      <c r="C86" s="93"/>
      <c r="D86" s="57"/>
      <c r="E86" s="44"/>
      <c r="F86" s="77" t="s">
        <v>31</v>
      </c>
      <c r="G86" s="120"/>
      <c r="H86" s="57"/>
      <c r="I86" s="120"/>
      <c r="J86" s="120"/>
      <c r="K86" s="120"/>
      <c r="L86" s="57"/>
      <c r="M86" s="120"/>
      <c r="N86" s="120"/>
      <c r="O86" s="120"/>
      <c r="P86" s="57"/>
      <c r="Q86" s="44"/>
      <c r="R86" s="44"/>
      <c r="S86" s="44"/>
      <c r="T86" s="355"/>
      <c r="U86" s="44"/>
      <c r="V86" s="167">
        <v>0</v>
      </c>
      <c r="W86" s="95">
        <f t="shared" si="5"/>
        <v>0</v>
      </c>
      <c r="X86" s="82"/>
      <c r="Y86" s="188"/>
      <c r="Z86" s="332"/>
      <c r="AA86" s="169"/>
      <c r="AB86" s="10"/>
      <c r="AC86" s="10"/>
      <c r="AD86" s="10"/>
      <c r="AE86" s="10"/>
      <c r="AF86" s="10"/>
      <c r="AG86" s="10"/>
    </row>
    <row r="87" spans="1:33" customFormat="1" ht="23" x14ac:dyDescent="0.35">
      <c r="A87" s="345"/>
      <c r="B87" s="96" t="s">
        <v>169</v>
      </c>
      <c r="C87" s="93"/>
      <c r="D87" s="57"/>
      <c r="E87" s="120"/>
      <c r="F87" s="77" t="s">
        <v>31</v>
      </c>
      <c r="G87" s="77" t="s">
        <v>31</v>
      </c>
      <c r="H87" s="57"/>
      <c r="I87" s="77" t="s">
        <v>31</v>
      </c>
      <c r="J87" s="120"/>
      <c r="K87" s="120"/>
      <c r="L87" s="57"/>
      <c r="M87" s="120"/>
      <c r="N87" s="120"/>
      <c r="O87" s="120"/>
      <c r="P87" s="57"/>
      <c r="Q87" s="44"/>
      <c r="R87" s="44"/>
      <c r="S87" s="44"/>
      <c r="T87" s="349"/>
      <c r="U87" s="44"/>
      <c r="V87" s="167">
        <f>10000000/500</f>
        <v>20000</v>
      </c>
      <c r="W87" s="95">
        <f t="shared" si="5"/>
        <v>10000000</v>
      </c>
      <c r="X87" s="82"/>
      <c r="Y87" s="188"/>
      <c r="Z87" s="333"/>
      <c r="AA87" s="169"/>
      <c r="AB87" s="10"/>
      <c r="AC87" s="10"/>
      <c r="AD87" s="10"/>
      <c r="AE87" s="10"/>
      <c r="AF87" s="10"/>
      <c r="AG87" s="10"/>
    </row>
    <row r="88" spans="1:33" customFormat="1" ht="14.5" x14ac:dyDescent="0.35">
      <c r="A88" s="109" t="s">
        <v>170</v>
      </c>
      <c r="B88" s="110"/>
      <c r="C88" s="110"/>
      <c r="D88" s="111"/>
      <c r="E88" s="111"/>
      <c r="F88" s="111"/>
      <c r="G88" s="111"/>
      <c r="H88" s="111"/>
      <c r="I88" s="111"/>
      <c r="J88" s="111"/>
      <c r="K88" s="111"/>
      <c r="L88" s="111"/>
      <c r="M88" s="111"/>
      <c r="N88" s="111"/>
      <c r="O88" s="111"/>
      <c r="P88" s="111"/>
      <c r="Q88" s="111"/>
      <c r="R88" s="111"/>
      <c r="S88" s="111"/>
      <c r="T88" s="175"/>
      <c r="U88" s="110"/>
      <c r="V88" s="157">
        <f>+SUM(V89:V98)</f>
        <v>199000</v>
      </c>
      <c r="W88" s="158">
        <f>+V88*500</f>
        <v>99500000</v>
      </c>
      <c r="X88" s="176"/>
      <c r="Y88" s="176"/>
      <c r="Z88" s="198"/>
      <c r="AA88" s="169"/>
      <c r="AB88" s="10"/>
      <c r="AC88" s="10"/>
      <c r="AD88" s="10"/>
      <c r="AE88" s="10"/>
      <c r="AF88" s="10"/>
      <c r="AG88" s="10"/>
    </row>
    <row r="89" spans="1:33" customFormat="1" ht="23" x14ac:dyDescent="0.35">
      <c r="A89" s="343" t="s">
        <v>374</v>
      </c>
      <c r="B89" s="96" t="s">
        <v>171</v>
      </c>
      <c r="C89" s="93"/>
      <c r="D89" s="57"/>
      <c r="E89" s="120"/>
      <c r="F89" s="120"/>
      <c r="G89" s="44"/>
      <c r="H89" s="57"/>
      <c r="I89" s="44"/>
      <c r="J89" s="44"/>
      <c r="K89" s="44"/>
      <c r="L89" s="57"/>
      <c r="M89" s="77" t="s">
        <v>31</v>
      </c>
      <c r="N89" s="77" t="s">
        <v>31</v>
      </c>
      <c r="O89" s="77" t="s">
        <v>31</v>
      </c>
      <c r="P89" s="57"/>
      <c r="Q89" s="77" t="s">
        <v>31</v>
      </c>
      <c r="R89" s="77" t="s">
        <v>31</v>
      </c>
      <c r="S89" s="77" t="s">
        <v>31</v>
      </c>
      <c r="T89" s="78" t="s">
        <v>172</v>
      </c>
      <c r="U89" s="44"/>
      <c r="V89" s="92">
        <f>50000000/500</f>
        <v>100000</v>
      </c>
      <c r="W89" s="202">
        <f>+V89*500</f>
        <v>50000000</v>
      </c>
      <c r="X89" s="82"/>
      <c r="Y89" s="201"/>
      <c r="Z89" s="334" t="s">
        <v>33</v>
      </c>
      <c r="AA89" s="169"/>
      <c r="AB89" s="10"/>
      <c r="AC89" s="10"/>
      <c r="AD89" s="10"/>
      <c r="AE89" s="10"/>
      <c r="AF89" s="10"/>
      <c r="AG89" s="10"/>
    </row>
    <row r="90" spans="1:33" customFormat="1" ht="23" x14ac:dyDescent="0.35">
      <c r="A90" s="344"/>
      <c r="B90" s="96" t="s">
        <v>173</v>
      </c>
      <c r="C90" s="93"/>
      <c r="D90" s="57"/>
      <c r="E90" s="120"/>
      <c r="F90" s="120"/>
      <c r="G90" s="44"/>
      <c r="H90" s="57"/>
      <c r="I90" s="44"/>
      <c r="J90" s="44"/>
      <c r="K90" s="44"/>
      <c r="L90" s="57"/>
      <c r="M90" s="77" t="s">
        <v>31</v>
      </c>
      <c r="N90" s="77" t="s">
        <v>31</v>
      </c>
      <c r="O90" s="77" t="s">
        <v>31</v>
      </c>
      <c r="P90" s="57"/>
      <c r="Q90" s="77" t="s">
        <v>31</v>
      </c>
      <c r="R90" s="77" t="s">
        <v>31</v>
      </c>
      <c r="S90" s="77" t="s">
        <v>31</v>
      </c>
      <c r="T90" s="203" t="s">
        <v>174</v>
      </c>
      <c r="U90" s="44"/>
      <c r="V90" s="92">
        <v>45000</v>
      </c>
      <c r="W90" s="202">
        <f t="shared" ref="W90:W98" si="6">+V90*500</f>
        <v>22500000</v>
      </c>
      <c r="X90" s="82"/>
      <c r="Y90" s="201"/>
      <c r="Z90" s="332"/>
      <c r="AA90" s="169"/>
      <c r="AB90" s="10"/>
      <c r="AC90" s="10"/>
      <c r="AD90" s="10"/>
      <c r="AE90" s="10"/>
      <c r="AF90" s="10"/>
      <c r="AG90" s="10"/>
    </row>
    <row r="91" spans="1:33" customFormat="1" ht="23" x14ac:dyDescent="0.35">
      <c r="A91" s="344"/>
      <c r="B91" s="96" t="s">
        <v>175</v>
      </c>
      <c r="C91" s="93"/>
      <c r="D91" s="57"/>
      <c r="E91" s="120"/>
      <c r="F91" s="120"/>
      <c r="G91" s="44"/>
      <c r="H91" s="57"/>
      <c r="I91" s="44"/>
      <c r="J91" s="44"/>
      <c r="K91" s="44"/>
      <c r="L91" s="57"/>
      <c r="M91" s="77" t="s">
        <v>31</v>
      </c>
      <c r="N91" s="77" t="s">
        <v>31</v>
      </c>
      <c r="O91" s="77" t="s">
        <v>31</v>
      </c>
      <c r="P91" s="57"/>
      <c r="Q91" s="77" t="s">
        <v>31</v>
      </c>
      <c r="R91" s="77" t="s">
        <v>31</v>
      </c>
      <c r="S91" s="77" t="s">
        <v>31</v>
      </c>
      <c r="T91" s="203" t="s">
        <v>176</v>
      </c>
      <c r="U91" s="44"/>
      <c r="V91" s="84">
        <f>10000000/500</f>
        <v>20000</v>
      </c>
      <c r="W91" s="202">
        <f t="shared" si="6"/>
        <v>10000000</v>
      </c>
      <c r="X91" s="82"/>
      <c r="Y91" s="188"/>
      <c r="Z91" s="332"/>
      <c r="AA91" s="169"/>
      <c r="AB91" s="10"/>
      <c r="AC91" s="10"/>
      <c r="AD91" s="10"/>
      <c r="AE91" s="10"/>
      <c r="AF91" s="10"/>
      <c r="AG91" s="10"/>
    </row>
    <row r="92" spans="1:33" customFormat="1" ht="23" x14ac:dyDescent="0.35">
      <c r="A92" s="343" t="s">
        <v>375</v>
      </c>
      <c r="B92" s="96" t="s">
        <v>177</v>
      </c>
      <c r="C92" s="93"/>
      <c r="D92" s="57"/>
      <c r="E92" s="77" t="s">
        <v>31</v>
      </c>
      <c r="F92" s="77" t="s">
        <v>31</v>
      </c>
      <c r="G92" s="77" t="s">
        <v>31</v>
      </c>
      <c r="H92" s="57"/>
      <c r="I92" s="77" t="s">
        <v>31</v>
      </c>
      <c r="J92" s="77" t="s">
        <v>31</v>
      </c>
      <c r="K92" s="77" t="s">
        <v>31</v>
      </c>
      <c r="L92" s="57"/>
      <c r="M92" s="77" t="s">
        <v>31</v>
      </c>
      <c r="N92" s="77" t="s">
        <v>31</v>
      </c>
      <c r="O92" s="77" t="s">
        <v>31</v>
      </c>
      <c r="P92" s="57"/>
      <c r="Q92" s="77" t="s">
        <v>31</v>
      </c>
      <c r="R92" s="77" t="s">
        <v>31</v>
      </c>
      <c r="S92" s="77" t="s">
        <v>31</v>
      </c>
      <c r="T92" s="78" t="s">
        <v>178</v>
      </c>
      <c r="U92" s="44"/>
      <c r="V92" s="84">
        <f>5000000/500</f>
        <v>10000</v>
      </c>
      <c r="W92" s="202">
        <f t="shared" si="6"/>
        <v>5000000</v>
      </c>
      <c r="X92" s="82"/>
      <c r="Y92" s="188"/>
      <c r="Z92" s="334" t="s">
        <v>33</v>
      </c>
      <c r="AA92" s="169"/>
      <c r="AB92" s="10"/>
      <c r="AC92" s="10"/>
      <c r="AD92" s="10"/>
      <c r="AE92" s="10"/>
      <c r="AF92" s="10"/>
      <c r="AG92" s="10"/>
    </row>
    <row r="93" spans="1:33" customFormat="1" ht="14.5" x14ac:dyDescent="0.35">
      <c r="A93" s="344"/>
      <c r="B93" s="96" t="s">
        <v>179</v>
      </c>
      <c r="C93" s="93"/>
      <c r="D93" s="57"/>
      <c r="E93" s="77" t="s">
        <v>31</v>
      </c>
      <c r="F93" s="77" t="s">
        <v>31</v>
      </c>
      <c r="G93" s="77" t="s">
        <v>31</v>
      </c>
      <c r="H93" s="57"/>
      <c r="I93" s="77" t="s">
        <v>31</v>
      </c>
      <c r="J93" s="77" t="s">
        <v>31</v>
      </c>
      <c r="K93" s="77" t="s">
        <v>31</v>
      </c>
      <c r="L93" s="57"/>
      <c r="M93" s="77" t="s">
        <v>31</v>
      </c>
      <c r="N93" s="77" t="s">
        <v>31</v>
      </c>
      <c r="O93" s="77" t="s">
        <v>31</v>
      </c>
      <c r="P93" s="57"/>
      <c r="Q93" s="77" t="s">
        <v>31</v>
      </c>
      <c r="R93" s="77" t="s">
        <v>31</v>
      </c>
      <c r="S93" s="77" t="s">
        <v>31</v>
      </c>
      <c r="T93" s="203" t="s">
        <v>180</v>
      </c>
      <c r="U93" s="44"/>
      <c r="V93" s="167">
        <v>0</v>
      </c>
      <c r="W93" s="202">
        <f t="shared" si="6"/>
        <v>0</v>
      </c>
      <c r="X93" s="82"/>
      <c r="Y93" s="188"/>
      <c r="Z93" s="332"/>
      <c r="AA93" s="169"/>
      <c r="AB93" s="10"/>
      <c r="AC93" s="10"/>
      <c r="AD93" s="10"/>
      <c r="AE93" s="10"/>
      <c r="AF93" s="10"/>
      <c r="AG93" s="10"/>
    </row>
    <row r="94" spans="1:33" customFormat="1" ht="14.5" x14ac:dyDescent="0.35">
      <c r="A94" s="344"/>
      <c r="B94" s="96" t="s">
        <v>181</v>
      </c>
      <c r="C94" s="93"/>
      <c r="D94" s="57"/>
      <c r="E94" s="77" t="s">
        <v>31</v>
      </c>
      <c r="F94" s="77" t="s">
        <v>31</v>
      </c>
      <c r="G94" s="77" t="s">
        <v>31</v>
      </c>
      <c r="H94" s="57"/>
      <c r="I94" s="77" t="s">
        <v>31</v>
      </c>
      <c r="J94" s="77" t="s">
        <v>31</v>
      </c>
      <c r="K94" s="77" t="s">
        <v>31</v>
      </c>
      <c r="L94" s="57"/>
      <c r="M94" s="77" t="s">
        <v>31</v>
      </c>
      <c r="N94" s="77" t="s">
        <v>31</v>
      </c>
      <c r="O94" s="77" t="s">
        <v>31</v>
      </c>
      <c r="P94" s="57"/>
      <c r="Q94" s="77" t="s">
        <v>31</v>
      </c>
      <c r="R94" s="77" t="s">
        <v>31</v>
      </c>
      <c r="S94" s="77" t="s">
        <v>31</v>
      </c>
      <c r="T94" s="203" t="s">
        <v>182</v>
      </c>
      <c r="U94" s="44"/>
      <c r="V94" s="204">
        <v>0</v>
      </c>
      <c r="W94" s="202">
        <f t="shared" si="6"/>
        <v>0</v>
      </c>
      <c r="X94" s="82" t="s">
        <v>3</v>
      </c>
      <c r="Y94" s="188"/>
      <c r="Z94" s="332"/>
      <c r="AA94" s="169"/>
      <c r="AB94" s="10"/>
      <c r="AC94" s="10"/>
      <c r="AD94" s="10"/>
      <c r="AE94" s="10"/>
      <c r="AF94" s="10"/>
      <c r="AG94" s="10"/>
    </row>
    <row r="95" spans="1:33" customFormat="1" ht="31.15" customHeight="1" x14ac:dyDescent="0.35">
      <c r="A95" s="345"/>
      <c r="B95" s="96" t="s">
        <v>183</v>
      </c>
      <c r="C95" s="93"/>
      <c r="D95" s="57"/>
      <c r="E95" s="77" t="s">
        <v>31</v>
      </c>
      <c r="F95" s="77" t="s">
        <v>31</v>
      </c>
      <c r="G95" s="77" t="s">
        <v>31</v>
      </c>
      <c r="H95" s="57"/>
      <c r="I95" s="77" t="s">
        <v>31</v>
      </c>
      <c r="J95" s="77" t="s">
        <v>31</v>
      </c>
      <c r="K95" s="77" t="s">
        <v>31</v>
      </c>
      <c r="L95" s="57"/>
      <c r="M95" s="77" t="s">
        <v>31</v>
      </c>
      <c r="N95" s="77" t="s">
        <v>31</v>
      </c>
      <c r="O95" s="77" t="s">
        <v>31</v>
      </c>
      <c r="P95" s="57"/>
      <c r="Q95" s="77" t="s">
        <v>31</v>
      </c>
      <c r="R95" s="77" t="s">
        <v>31</v>
      </c>
      <c r="S95" s="77" t="s">
        <v>31</v>
      </c>
      <c r="T95" s="203" t="s">
        <v>184</v>
      </c>
      <c r="U95" s="44"/>
      <c r="V95" s="167">
        <v>0</v>
      </c>
      <c r="W95" s="202">
        <f t="shared" si="6"/>
        <v>0</v>
      </c>
      <c r="X95" s="82"/>
      <c r="Y95" s="188"/>
      <c r="Z95" s="333"/>
      <c r="AA95" s="169"/>
      <c r="AB95" s="10"/>
      <c r="AC95" s="10"/>
      <c r="AD95" s="10"/>
      <c r="AE95" s="10"/>
      <c r="AF95" s="10"/>
      <c r="AG95" s="10"/>
    </row>
    <row r="96" spans="1:33" customFormat="1" ht="14.5" x14ac:dyDescent="0.35">
      <c r="A96" s="343" t="s">
        <v>376</v>
      </c>
      <c r="B96" s="96" t="s">
        <v>185</v>
      </c>
      <c r="C96" s="93"/>
      <c r="D96" s="57"/>
      <c r="E96" s="77" t="s">
        <v>31</v>
      </c>
      <c r="F96" s="77" t="s">
        <v>31</v>
      </c>
      <c r="G96" s="77" t="s">
        <v>31</v>
      </c>
      <c r="H96" s="57"/>
      <c r="I96" s="77" t="s">
        <v>31</v>
      </c>
      <c r="J96" s="77" t="s">
        <v>31</v>
      </c>
      <c r="K96" s="77" t="s">
        <v>31</v>
      </c>
      <c r="L96" s="57"/>
      <c r="M96" s="77" t="s">
        <v>31</v>
      </c>
      <c r="N96" s="77" t="s">
        <v>31</v>
      </c>
      <c r="O96" s="77" t="s">
        <v>31</v>
      </c>
      <c r="P96" s="57"/>
      <c r="Q96" s="77" t="s">
        <v>31</v>
      </c>
      <c r="R96" s="77" t="s">
        <v>31</v>
      </c>
      <c r="S96" s="77" t="s">
        <v>31</v>
      </c>
      <c r="T96" s="205" t="s">
        <v>186</v>
      </c>
      <c r="U96" s="44"/>
      <c r="V96" s="167"/>
      <c r="W96" s="202">
        <f t="shared" si="6"/>
        <v>0</v>
      </c>
      <c r="X96" s="82"/>
      <c r="Y96" s="188"/>
      <c r="Z96" s="334" t="s">
        <v>133</v>
      </c>
      <c r="AA96" s="169"/>
      <c r="AB96" s="10"/>
      <c r="AC96" s="10"/>
      <c r="AD96" s="10"/>
      <c r="AE96" s="10"/>
      <c r="AF96" s="10"/>
      <c r="AG96" s="10"/>
    </row>
    <row r="97" spans="1:33" customFormat="1" ht="15.65" customHeight="1" x14ac:dyDescent="0.35">
      <c r="A97" s="344"/>
      <c r="B97" s="104" t="s">
        <v>187</v>
      </c>
      <c r="C97" s="93"/>
      <c r="D97" s="57"/>
      <c r="E97" s="77" t="s">
        <v>31</v>
      </c>
      <c r="F97" s="77" t="s">
        <v>31</v>
      </c>
      <c r="G97" s="77" t="s">
        <v>31</v>
      </c>
      <c r="H97" s="57"/>
      <c r="I97" s="77" t="s">
        <v>31</v>
      </c>
      <c r="J97" s="77" t="s">
        <v>31</v>
      </c>
      <c r="K97" s="77" t="s">
        <v>31</v>
      </c>
      <c r="L97" s="57"/>
      <c r="M97" s="77" t="s">
        <v>31</v>
      </c>
      <c r="N97" s="77" t="s">
        <v>31</v>
      </c>
      <c r="O97" s="77" t="s">
        <v>31</v>
      </c>
      <c r="P97" s="57"/>
      <c r="Q97" s="77" t="s">
        <v>31</v>
      </c>
      <c r="R97" s="77" t="s">
        <v>31</v>
      </c>
      <c r="S97" s="77" t="s">
        <v>31</v>
      </c>
      <c r="T97" s="206" t="s">
        <v>188</v>
      </c>
      <c r="U97" s="44"/>
      <c r="V97" s="167">
        <f>1000000*2/500</f>
        <v>4000</v>
      </c>
      <c r="W97" s="202">
        <f t="shared" si="6"/>
        <v>2000000</v>
      </c>
      <c r="X97" s="82"/>
      <c r="Y97" s="188"/>
      <c r="Z97" s="332"/>
      <c r="AA97" s="169"/>
      <c r="AB97" s="10"/>
      <c r="AC97" s="10"/>
      <c r="AD97" s="10"/>
      <c r="AE97" s="10"/>
      <c r="AF97" s="10"/>
      <c r="AG97" s="10"/>
    </row>
    <row r="98" spans="1:33" customFormat="1" ht="23" x14ac:dyDescent="0.35">
      <c r="A98" s="345"/>
      <c r="B98" s="96" t="s">
        <v>189</v>
      </c>
      <c r="C98" s="93"/>
      <c r="D98" s="57"/>
      <c r="E98" s="77" t="s">
        <v>31</v>
      </c>
      <c r="F98" s="77" t="s">
        <v>31</v>
      </c>
      <c r="G98" s="77" t="s">
        <v>31</v>
      </c>
      <c r="H98" s="57"/>
      <c r="I98" s="77" t="s">
        <v>31</v>
      </c>
      <c r="J98" s="77" t="s">
        <v>31</v>
      </c>
      <c r="K98" s="77" t="s">
        <v>31</v>
      </c>
      <c r="L98" s="57"/>
      <c r="M98" s="77" t="s">
        <v>31</v>
      </c>
      <c r="N98" s="77" t="s">
        <v>31</v>
      </c>
      <c r="O98" s="77" t="s">
        <v>31</v>
      </c>
      <c r="P98" s="57"/>
      <c r="Q98" s="77" t="s">
        <v>31</v>
      </c>
      <c r="R98" s="77" t="s">
        <v>31</v>
      </c>
      <c r="S98" s="77" t="s">
        <v>31</v>
      </c>
      <c r="T98" s="206" t="s">
        <v>190</v>
      </c>
      <c r="U98" s="44"/>
      <c r="V98" s="167">
        <f>5000000*2/500</f>
        <v>20000</v>
      </c>
      <c r="W98" s="202">
        <f t="shared" si="6"/>
        <v>10000000</v>
      </c>
      <c r="X98" s="82"/>
      <c r="Y98" s="188"/>
      <c r="Z98" s="333"/>
      <c r="AA98" s="169"/>
      <c r="AB98" s="10"/>
      <c r="AC98" s="10"/>
      <c r="AD98" s="10"/>
      <c r="AE98" s="10"/>
      <c r="AF98" s="10"/>
      <c r="AG98" s="10"/>
    </row>
    <row r="99" spans="1:33" customFormat="1" ht="14.5" x14ac:dyDescent="0.35">
      <c r="A99" s="109" t="s">
        <v>191</v>
      </c>
      <c r="B99" s="110"/>
      <c r="C99" s="110"/>
      <c r="D99" s="111"/>
      <c r="E99" s="111"/>
      <c r="F99" s="111"/>
      <c r="G99" s="111"/>
      <c r="H99" s="111"/>
      <c r="I99" s="111"/>
      <c r="J99" s="111"/>
      <c r="K99" s="111"/>
      <c r="L99" s="111"/>
      <c r="M99" s="111"/>
      <c r="N99" s="111"/>
      <c r="O99" s="111"/>
      <c r="P99" s="111"/>
      <c r="Q99" s="111"/>
      <c r="R99" s="111"/>
      <c r="S99" s="111"/>
      <c r="T99" s="175"/>
      <c r="U99" s="110"/>
      <c r="V99" s="157">
        <f>+SUM(V100:V104)</f>
        <v>51000</v>
      </c>
      <c r="W99" s="158">
        <f>+V99*500</f>
        <v>25500000</v>
      </c>
      <c r="X99" s="176"/>
      <c r="Y99" s="207"/>
      <c r="Z99" s="198"/>
      <c r="AA99" s="169"/>
      <c r="AB99" s="10"/>
      <c r="AC99" s="10"/>
      <c r="AD99" s="10"/>
      <c r="AE99" s="10"/>
      <c r="AF99" s="10"/>
      <c r="AG99" s="10"/>
    </row>
    <row r="100" spans="1:33" customFormat="1" ht="57" customHeight="1" x14ac:dyDescent="0.35">
      <c r="A100" s="138" t="s">
        <v>377</v>
      </c>
      <c r="B100" s="96" t="s">
        <v>192</v>
      </c>
      <c r="C100" s="93"/>
      <c r="D100" s="57"/>
      <c r="E100" s="77" t="s">
        <v>31</v>
      </c>
      <c r="F100" s="77" t="s">
        <v>31</v>
      </c>
      <c r="G100" s="77" t="s">
        <v>31</v>
      </c>
      <c r="H100" s="57"/>
      <c r="I100" s="77" t="s">
        <v>31</v>
      </c>
      <c r="J100" s="77" t="s">
        <v>31</v>
      </c>
      <c r="K100" s="77" t="s">
        <v>31</v>
      </c>
      <c r="L100" s="57"/>
      <c r="M100" s="77" t="s">
        <v>31</v>
      </c>
      <c r="N100" s="77" t="s">
        <v>31</v>
      </c>
      <c r="O100" s="77" t="s">
        <v>31</v>
      </c>
      <c r="P100" s="57"/>
      <c r="Q100" s="77" t="s">
        <v>31</v>
      </c>
      <c r="R100" s="77" t="s">
        <v>31</v>
      </c>
      <c r="S100" s="77" t="s">
        <v>31</v>
      </c>
      <c r="T100" s="78" t="s">
        <v>193</v>
      </c>
      <c r="U100" s="44" t="s">
        <v>3</v>
      </c>
      <c r="V100" s="167">
        <f>4000000/500</f>
        <v>8000</v>
      </c>
      <c r="W100" s="187">
        <f>+V100*500</f>
        <v>4000000</v>
      </c>
      <c r="X100" s="82"/>
      <c r="Y100" s="188"/>
      <c r="Z100" s="96" t="s">
        <v>33</v>
      </c>
      <c r="AA100" s="169"/>
      <c r="AB100" s="10"/>
      <c r="AC100" s="10"/>
      <c r="AD100" s="10"/>
      <c r="AE100" s="10"/>
      <c r="AF100" s="10"/>
      <c r="AG100" s="10"/>
    </row>
    <row r="101" spans="1:33" customFormat="1" ht="23" x14ac:dyDescent="0.35">
      <c r="A101" s="115" t="s">
        <v>378</v>
      </c>
      <c r="B101" s="96" t="s">
        <v>194</v>
      </c>
      <c r="C101" s="93"/>
      <c r="D101" s="57"/>
      <c r="E101" s="44"/>
      <c r="F101" s="44"/>
      <c r="G101" s="44"/>
      <c r="H101" s="57"/>
      <c r="I101" s="77" t="s">
        <v>31</v>
      </c>
      <c r="J101" s="77" t="s">
        <v>31</v>
      </c>
      <c r="K101" s="77" t="s">
        <v>31</v>
      </c>
      <c r="L101" s="57"/>
      <c r="M101" s="44"/>
      <c r="N101" s="44"/>
      <c r="O101" s="44"/>
      <c r="P101" s="57"/>
      <c r="Q101" s="44"/>
      <c r="R101" s="44"/>
      <c r="S101" s="44"/>
      <c r="T101" s="208" t="s">
        <v>195</v>
      </c>
      <c r="U101" s="44"/>
      <c r="V101" s="80">
        <v>24000</v>
      </c>
      <c r="W101" s="187">
        <f t="shared" ref="W101:W104" si="7">+V101*500</f>
        <v>12000000</v>
      </c>
      <c r="X101" s="82"/>
      <c r="Y101" s="188"/>
      <c r="Z101" s="209" t="s">
        <v>33</v>
      </c>
      <c r="AA101" s="169"/>
      <c r="AB101" s="10"/>
      <c r="AC101" s="10"/>
      <c r="AD101" s="10"/>
      <c r="AE101" s="10"/>
      <c r="AF101" s="10"/>
      <c r="AG101" s="10"/>
    </row>
    <row r="102" spans="1:33" s="9" customFormat="1" ht="23" x14ac:dyDescent="0.25">
      <c r="A102" s="136" t="s">
        <v>379</v>
      </c>
      <c r="B102" s="96" t="s">
        <v>380</v>
      </c>
      <c r="C102" s="93"/>
      <c r="D102" s="57"/>
      <c r="E102" s="77" t="s">
        <v>31</v>
      </c>
      <c r="F102" s="77" t="s">
        <v>31</v>
      </c>
      <c r="G102" s="77" t="s">
        <v>31</v>
      </c>
      <c r="H102" s="57"/>
      <c r="I102" s="77" t="s">
        <v>31</v>
      </c>
      <c r="J102" s="77" t="s">
        <v>31</v>
      </c>
      <c r="K102" s="77" t="s">
        <v>31</v>
      </c>
      <c r="L102" s="57"/>
      <c r="M102" s="77" t="s">
        <v>31</v>
      </c>
      <c r="N102" s="77" t="s">
        <v>31</v>
      </c>
      <c r="O102" s="77" t="s">
        <v>31</v>
      </c>
      <c r="P102" s="57"/>
      <c r="Q102" s="77" t="s">
        <v>31</v>
      </c>
      <c r="R102" s="77" t="s">
        <v>31</v>
      </c>
      <c r="S102" s="77" t="s">
        <v>31</v>
      </c>
      <c r="T102" s="78" t="s">
        <v>196</v>
      </c>
      <c r="U102" s="96"/>
      <c r="V102" s="80">
        <f>6500000/500</f>
        <v>13000</v>
      </c>
      <c r="W102" s="202">
        <f t="shared" si="7"/>
        <v>6500000</v>
      </c>
      <c r="X102" s="82"/>
      <c r="Y102" s="210"/>
      <c r="Z102" s="96" t="s">
        <v>33</v>
      </c>
      <c r="AA102" s="161"/>
      <c r="AB102" s="8"/>
      <c r="AC102" s="8"/>
      <c r="AD102" s="8"/>
      <c r="AE102" s="8"/>
      <c r="AF102" s="8"/>
      <c r="AG102" s="8"/>
    </row>
    <row r="103" spans="1:33" s="9" customFormat="1" ht="14.5" x14ac:dyDescent="0.25">
      <c r="A103" s="329" t="s">
        <v>381</v>
      </c>
      <c r="B103" s="76" t="s">
        <v>197</v>
      </c>
      <c r="C103" s="76"/>
      <c r="D103" s="57"/>
      <c r="E103" s="77" t="s">
        <v>31</v>
      </c>
      <c r="F103" s="77" t="s">
        <v>31</v>
      </c>
      <c r="G103" s="77" t="s">
        <v>31</v>
      </c>
      <c r="H103" s="57"/>
      <c r="I103" s="77" t="s">
        <v>31</v>
      </c>
      <c r="J103" s="77" t="s">
        <v>31</v>
      </c>
      <c r="K103" s="77" t="s">
        <v>31</v>
      </c>
      <c r="L103" s="57"/>
      <c r="M103" s="77" t="s">
        <v>31</v>
      </c>
      <c r="N103" s="77" t="s">
        <v>31</v>
      </c>
      <c r="O103" s="77" t="s">
        <v>31</v>
      </c>
      <c r="P103" s="57"/>
      <c r="Q103" s="77" t="s">
        <v>31</v>
      </c>
      <c r="R103" s="77" t="s">
        <v>31</v>
      </c>
      <c r="S103" s="77" t="s">
        <v>31</v>
      </c>
      <c r="T103" s="329" t="s">
        <v>198</v>
      </c>
      <c r="U103" s="76"/>
      <c r="V103" s="84"/>
      <c r="W103" s="187">
        <f t="shared" si="7"/>
        <v>0</v>
      </c>
      <c r="X103" s="82"/>
      <c r="Y103" s="211"/>
      <c r="Z103" s="337" t="s">
        <v>33</v>
      </c>
      <c r="AA103" s="161"/>
      <c r="AB103" s="8"/>
      <c r="AC103" s="8"/>
      <c r="AD103" s="8"/>
      <c r="AE103" s="8"/>
      <c r="AF103" s="8"/>
      <c r="AG103" s="8"/>
    </row>
    <row r="104" spans="1:33" s="9" customFormat="1" ht="14.5" x14ac:dyDescent="0.25">
      <c r="A104" s="330"/>
      <c r="B104" s="76" t="s">
        <v>199</v>
      </c>
      <c r="C104" s="76"/>
      <c r="D104" s="57"/>
      <c r="E104" s="77" t="s">
        <v>31</v>
      </c>
      <c r="F104" s="77" t="s">
        <v>31</v>
      </c>
      <c r="G104" s="77" t="s">
        <v>31</v>
      </c>
      <c r="H104" s="57"/>
      <c r="I104" s="77" t="s">
        <v>31</v>
      </c>
      <c r="J104" s="77" t="s">
        <v>31</v>
      </c>
      <c r="K104" s="77" t="s">
        <v>31</v>
      </c>
      <c r="L104" s="57"/>
      <c r="M104" s="77" t="s">
        <v>31</v>
      </c>
      <c r="N104" s="77" t="s">
        <v>31</v>
      </c>
      <c r="O104" s="77" t="s">
        <v>31</v>
      </c>
      <c r="P104" s="57"/>
      <c r="Q104" s="77" t="s">
        <v>31</v>
      </c>
      <c r="R104" s="77" t="s">
        <v>31</v>
      </c>
      <c r="S104" s="77" t="s">
        <v>31</v>
      </c>
      <c r="T104" s="330"/>
      <c r="U104" s="76"/>
      <c r="V104" s="92">
        <f>3000000/500</f>
        <v>6000</v>
      </c>
      <c r="W104" s="187">
        <f t="shared" si="7"/>
        <v>3000000</v>
      </c>
      <c r="X104" s="82"/>
      <c r="Y104" s="211"/>
      <c r="Z104" s="338"/>
      <c r="AA104" s="161"/>
      <c r="AB104" s="8"/>
      <c r="AC104" s="8"/>
      <c r="AD104" s="8"/>
      <c r="AE104" s="8"/>
      <c r="AF104" s="8"/>
      <c r="AG104" s="8"/>
    </row>
    <row r="105" spans="1:33" customFormat="1" ht="14.5" x14ac:dyDescent="0.35">
      <c r="A105" s="59" t="s">
        <v>200</v>
      </c>
      <c r="B105" s="61"/>
      <c r="C105" s="61"/>
      <c r="D105" s="62"/>
      <c r="E105" s="62"/>
      <c r="F105" s="62"/>
      <c r="G105" s="62"/>
      <c r="H105" s="62"/>
      <c r="I105" s="62"/>
      <c r="J105" s="62"/>
      <c r="K105" s="62"/>
      <c r="L105" s="62"/>
      <c r="M105" s="62"/>
      <c r="N105" s="62"/>
      <c r="O105" s="62"/>
      <c r="P105" s="62"/>
      <c r="Q105" s="62"/>
      <c r="R105" s="62"/>
      <c r="S105" s="62"/>
      <c r="T105" s="193"/>
      <c r="U105" s="61"/>
      <c r="V105" s="64">
        <f>+V106+V114</f>
        <v>189400</v>
      </c>
      <c r="W105" s="318">
        <f>+V105*500</f>
        <v>94700000</v>
      </c>
      <c r="X105" s="65"/>
      <c r="Y105" s="212"/>
      <c r="Z105" s="197"/>
      <c r="AA105" s="169"/>
      <c r="AB105" s="10"/>
      <c r="AC105" s="10"/>
      <c r="AD105" s="10"/>
      <c r="AE105" s="10"/>
      <c r="AF105" s="10"/>
      <c r="AG105" s="10"/>
    </row>
    <row r="106" spans="1:33" s="12" customFormat="1" ht="14.5" x14ac:dyDescent="0.35">
      <c r="A106" s="356" t="s">
        <v>201</v>
      </c>
      <c r="B106" s="369"/>
      <c r="C106" s="154"/>
      <c r="D106" s="155"/>
      <c r="E106" s="155"/>
      <c r="F106" s="155"/>
      <c r="G106" s="155"/>
      <c r="H106" s="155"/>
      <c r="I106" s="155"/>
      <c r="J106" s="155"/>
      <c r="K106" s="155"/>
      <c r="L106" s="155"/>
      <c r="M106" s="155"/>
      <c r="N106" s="155"/>
      <c r="O106" s="155"/>
      <c r="P106" s="155"/>
      <c r="Q106" s="155"/>
      <c r="R106" s="155"/>
      <c r="S106" s="155"/>
      <c r="T106" s="154"/>
      <c r="U106" s="156"/>
      <c r="V106" s="157">
        <f>+SUM(V107:V113)</f>
        <v>139400</v>
      </c>
      <c r="W106" s="158">
        <f>+V106*500</f>
        <v>69700000</v>
      </c>
      <c r="X106" s="159"/>
      <c r="Y106" s="159"/>
      <c r="Z106" s="160"/>
      <c r="AA106" s="213"/>
      <c r="AB106" s="11"/>
      <c r="AC106" s="11"/>
      <c r="AD106" s="11"/>
      <c r="AE106" s="11"/>
      <c r="AF106" s="11"/>
      <c r="AG106" s="11"/>
    </row>
    <row r="107" spans="1:33" s="12" customFormat="1" ht="25.9" customHeight="1" x14ac:dyDescent="0.25">
      <c r="A107" s="363" t="s">
        <v>382</v>
      </c>
      <c r="B107" s="96" t="s">
        <v>202</v>
      </c>
      <c r="C107" s="93"/>
      <c r="D107" s="57"/>
      <c r="E107" s="96"/>
      <c r="F107" s="96"/>
      <c r="G107" s="96"/>
      <c r="H107" s="57"/>
      <c r="I107" s="96"/>
      <c r="J107" s="96"/>
      <c r="K107" s="96"/>
      <c r="L107" s="57"/>
      <c r="M107" s="77" t="s">
        <v>31</v>
      </c>
      <c r="N107" s="77" t="s">
        <v>31</v>
      </c>
      <c r="O107" s="77" t="s">
        <v>31</v>
      </c>
      <c r="P107" s="57"/>
      <c r="Q107" s="77" t="s">
        <v>31</v>
      </c>
      <c r="R107" s="77" t="s">
        <v>31</v>
      </c>
      <c r="S107" s="77" t="s">
        <v>31</v>
      </c>
      <c r="T107" s="348" t="s">
        <v>203</v>
      </c>
      <c r="U107" s="214"/>
      <c r="V107" s="204"/>
      <c r="W107" s="215">
        <f>+V107*500</f>
        <v>0</v>
      </c>
      <c r="X107" s="82"/>
      <c r="Y107" s="216"/>
      <c r="Z107" s="332" t="s">
        <v>33</v>
      </c>
      <c r="AA107" s="213"/>
      <c r="AB107" s="11"/>
      <c r="AC107" s="11"/>
      <c r="AD107" s="11"/>
      <c r="AE107" s="11"/>
      <c r="AF107" s="11"/>
      <c r="AG107" s="11"/>
    </row>
    <row r="108" spans="1:33" s="12" customFormat="1" ht="14.5" x14ac:dyDescent="0.25">
      <c r="A108" s="364"/>
      <c r="B108" s="96" t="s">
        <v>204</v>
      </c>
      <c r="C108" s="93"/>
      <c r="D108" s="57"/>
      <c r="E108" s="96"/>
      <c r="F108" s="96"/>
      <c r="G108" s="96"/>
      <c r="H108" s="57"/>
      <c r="I108" s="96"/>
      <c r="J108" s="96"/>
      <c r="K108" s="96"/>
      <c r="L108" s="57"/>
      <c r="M108" s="77" t="s">
        <v>31</v>
      </c>
      <c r="N108" s="77" t="s">
        <v>31</v>
      </c>
      <c r="O108" s="77" t="s">
        <v>31</v>
      </c>
      <c r="P108" s="57"/>
      <c r="Q108" s="77" t="s">
        <v>31</v>
      </c>
      <c r="R108" s="77" t="s">
        <v>31</v>
      </c>
      <c r="S108" s="77" t="s">
        <v>31</v>
      </c>
      <c r="T108" s="355"/>
      <c r="U108" s="214"/>
      <c r="V108" s="80">
        <f>20000000/500</f>
        <v>40000</v>
      </c>
      <c r="W108" s="217">
        <f t="shared" ref="W108:W112" si="8">+V108*500</f>
        <v>20000000</v>
      </c>
      <c r="X108" s="82"/>
      <c r="Y108" s="86"/>
      <c r="Z108" s="333"/>
      <c r="AA108" s="213"/>
      <c r="AB108" s="11"/>
      <c r="AC108" s="11"/>
      <c r="AD108" s="11"/>
      <c r="AE108" s="11"/>
      <c r="AF108" s="11"/>
      <c r="AG108" s="11"/>
    </row>
    <row r="109" spans="1:33" customFormat="1" ht="23" x14ac:dyDescent="0.35">
      <c r="A109" s="365"/>
      <c r="B109" s="96" t="s">
        <v>205</v>
      </c>
      <c r="C109" s="93"/>
      <c r="D109" s="57"/>
      <c r="E109" s="96"/>
      <c r="F109" s="96"/>
      <c r="G109" s="96"/>
      <c r="H109" s="57"/>
      <c r="I109" s="96"/>
      <c r="J109" s="96"/>
      <c r="K109" s="96"/>
      <c r="L109" s="57"/>
      <c r="M109" s="77" t="s">
        <v>31</v>
      </c>
      <c r="N109" s="77" t="s">
        <v>31</v>
      </c>
      <c r="O109" s="77" t="s">
        <v>31</v>
      </c>
      <c r="P109" s="57"/>
      <c r="Q109" s="77" t="s">
        <v>31</v>
      </c>
      <c r="R109" s="77" t="s">
        <v>31</v>
      </c>
      <c r="S109" s="77" t="s">
        <v>31</v>
      </c>
      <c r="T109" s="349"/>
      <c r="U109" s="44"/>
      <c r="V109" s="204"/>
      <c r="W109" s="217">
        <f t="shared" si="8"/>
        <v>0</v>
      </c>
      <c r="X109" s="82"/>
      <c r="Y109" s="188"/>
      <c r="Z109" s="96" t="s">
        <v>33</v>
      </c>
      <c r="AA109" s="169"/>
      <c r="AB109" s="10"/>
      <c r="AC109" s="10"/>
      <c r="AD109" s="10"/>
      <c r="AE109" s="10"/>
      <c r="AF109" s="10"/>
      <c r="AG109" s="10"/>
    </row>
    <row r="110" spans="1:33" customFormat="1" ht="34.5" x14ac:dyDescent="0.35">
      <c r="A110" s="115" t="s">
        <v>383</v>
      </c>
      <c r="B110" s="96" t="s">
        <v>206</v>
      </c>
      <c r="C110" s="93"/>
      <c r="D110" s="57"/>
      <c r="E110" s="44"/>
      <c r="F110" s="44"/>
      <c r="G110" s="44"/>
      <c r="H110" s="57"/>
      <c r="I110" s="44"/>
      <c r="J110" s="44"/>
      <c r="K110" s="44"/>
      <c r="L110" s="57"/>
      <c r="M110" s="44"/>
      <c r="N110" s="77" t="s">
        <v>31</v>
      </c>
      <c r="O110" s="77" t="s">
        <v>31</v>
      </c>
      <c r="P110" s="57"/>
      <c r="Q110" s="44"/>
      <c r="R110" s="44"/>
      <c r="S110" s="44"/>
      <c r="T110" s="218" t="s">
        <v>207</v>
      </c>
      <c r="U110" s="44"/>
      <c r="V110" s="167">
        <f>20000000/500</f>
        <v>40000</v>
      </c>
      <c r="W110" s="217">
        <f t="shared" si="8"/>
        <v>20000000</v>
      </c>
      <c r="X110" s="82"/>
      <c r="Y110" s="188"/>
      <c r="Z110" s="153" t="s">
        <v>33</v>
      </c>
      <c r="AA110" s="169"/>
      <c r="AB110" s="10"/>
      <c r="AC110" s="10"/>
      <c r="AD110" s="10"/>
      <c r="AE110" s="10"/>
      <c r="AF110" s="10"/>
      <c r="AG110" s="10"/>
    </row>
    <row r="111" spans="1:33" customFormat="1" ht="56.65" customHeight="1" x14ac:dyDescent="0.35">
      <c r="A111" s="115" t="s">
        <v>384</v>
      </c>
      <c r="B111" s="96" t="s">
        <v>206</v>
      </c>
      <c r="C111" s="219"/>
      <c r="D111" s="57"/>
      <c r="E111" s="44"/>
      <c r="F111" s="44"/>
      <c r="G111" s="44"/>
      <c r="H111" s="57"/>
      <c r="I111" s="44"/>
      <c r="J111" s="44"/>
      <c r="K111" s="44"/>
      <c r="L111" s="57"/>
      <c r="M111" s="44"/>
      <c r="N111" s="77" t="s">
        <v>31</v>
      </c>
      <c r="O111" s="77" t="s">
        <v>31</v>
      </c>
      <c r="P111" s="57"/>
      <c r="Q111" s="44"/>
      <c r="R111" s="44"/>
      <c r="S111" s="44"/>
      <c r="T111" s="203" t="s">
        <v>208</v>
      </c>
      <c r="U111" s="220"/>
      <c r="V111" s="167">
        <f>20000000/500</f>
        <v>40000</v>
      </c>
      <c r="W111" s="217">
        <f t="shared" si="8"/>
        <v>20000000</v>
      </c>
      <c r="X111" s="82"/>
      <c r="Y111" s="221"/>
      <c r="Z111" s="115" t="s">
        <v>33</v>
      </c>
      <c r="AA111" s="169"/>
      <c r="AB111" s="10"/>
      <c r="AC111" s="10"/>
      <c r="AD111" s="10"/>
      <c r="AE111" s="10"/>
      <c r="AF111" s="10"/>
      <c r="AG111" s="10"/>
    </row>
    <row r="112" spans="1:33" customFormat="1" ht="55.15" customHeight="1" x14ac:dyDescent="0.35">
      <c r="A112" s="329" t="s">
        <v>385</v>
      </c>
      <c r="B112" s="96" t="s">
        <v>209</v>
      </c>
      <c r="C112" s="93"/>
      <c r="D112" s="57"/>
      <c r="E112" s="77" t="s">
        <v>31</v>
      </c>
      <c r="F112" s="77" t="s">
        <v>31</v>
      </c>
      <c r="G112" s="77" t="s">
        <v>31</v>
      </c>
      <c r="H112" s="57"/>
      <c r="I112" s="77" t="s">
        <v>31</v>
      </c>
      <c r="J112" s="77" t="s">
        <v>31</v>
      </c>
      <c r="K112" s="77" t="s">
        <v>31</v>
      </c>
      <c r="L112" s="57"/>
      <c r="M112" s="77" t="s">
        <v>31</v>
      </c>
      <c r="N112" s="77" t="s">
        <v>31</v>
      </c>
      <c r="O112" s="77" t="s">
        <v>31</v>
      </c>
      <c r="P112" s="57"/>
      <c r="Q112" s="77" t="s">
        <v>31</v>
      </c>
      <c r="R112" s="77" t="s">
        <v>31</v>
      </c>
      <c r="S112" s="77" t="s">
        <v>31</v>
      </c>
      <c r="T112" s="99" t="s">
        <v>210</v>
      </c>
      <c r="U112" s="44"/>
      <c r="V112" s="167">
        <f>9000000/500</f>
        <v>18000</v>
      </c>
      <c r="W112" s="217">
        <f t="shared" si="8"/>
        <v>9000000</v>
      </c>
      <c r="X112" s="82"/>
      <c r="Y112" s="222"/>
      <c r="Z112" s="344" t="s">
        <v>33</v>
      </c>
      <c r="AA112" s="169"/>
      <c r="AB112" s="10"/>
      <c r="AC112" s="10"/>
      <c r="AD112" s="10"/>
      <c r="AE112" s="10"/>
      <c r="AF112" s="10"/>
      <c r="AG112" s="10"/>
    </row>
    <row r="113" spans="1:33" customFormat="1" ht="14.5" x14ac:dyDescent="0.35">
      <c r="A113" s="330"/>
      <c r="B113" s="99" t="s">
        <v>211</v>
      </c>
      <c r="C113" s="76"/>
      <c r="D113" s="57"/>
      <c r="E113" s="77"/>
      <c r="F113" s="77"/>
      <c r="G113" s="77"/>
      <c r="H113" s="57"/>
      <c r="I113" s="77"/>
      <c r="J113" s="77"/>
      <c r="K113" s="77"/>
      <c r="L113" s="57"/>
      <c r="M113" s="77"/>
      <c r="N113" s="77"/>
      <c r="O113" s="77"/>
      <c r="P113" s="57"/>
      <c r="Q113" s="77"/>
      <c r="R113" s="77"/>
      <c r="S113" s="77"/>
      <c r="T113" s="99" t="s">
        <v>212</v>
      </c>
      <c r="U113" s="44"/>
      <c r="V113" s="167">
        <f>50000*0.028</f>
        <v>1400</v>
      </c>
      <c r="W113" s="217">
        <f>+V113*500</f>
        <v>700000</v>
      </c>
      <c r="X113" s="82"/>
      <c r="Y113" s="222"/>
      <c r="Z113" s="345"/>
      <c r="AA113" s="169"/>
      <c r="AB113" s="10"/>
      <c r="AC113" s="10"/>
      <c r="AD113" s="10"/>
      <c r="AE113" s="10"/>
      <c r="AF113" s="10"/>
      <c r="AG113" s="10"/>
    </row>
    <row r="114" spans="1:33" customFormat="1" ht="14.5" x14ac:dyDescent="0.35">
      <c r="A114" s="341" t="s">
        <v>213</v>
      </c>
      <c r="B114" s="362"/>
      <c r="C114" s="175"/>
      <c r="D114" s="223"/>
      <c r="E114" s="223"/>
      <c r="F114" s="223"/>
      <c r="G114" s="223"/>
      <c r="H114" s="223"/>
      <c r="I114" s="223"/>
      <c r="J114" s="223"/>
      <c r="K114" s="223"/>
      <c r="L114" s="223"/>
      <c r="M114" s="223"/>
      <c r="N114" s="223"/>
      <c r="O114" s="223"/>
      <c r="P114" s="223"/>
      <c r="Q114" s="223"/>
      <c r="R114" s="223"/>
      <c r="S114" s="223"/>
      <c r="T114" s="112"/>
      <c r="U114" s="223"/>
      <c r="V114" s="224">
        <f>+SUM(V115:V123)</f>
        <v>50000</v>
      </c>
      <c r="W114" s="225">
        <f>+V114*500</f>
        <v>25000000</v>
      </c>
      <c r="X114" s="226"/>
      <c r="Y114" s="226"/>
      <c r="Z114" s="111"/>
      <c r="AA114" s="169"/>
      <c r="AB114" s="10"/>
      <c r="AC114" s="10"/>
      <c r="AD114" s="10"/>
      <c r="AE114" s="10"/>
      <c r="AF114" s="10"/>
      <c r="AG114" s="10"/>
    </row>
    <row r="115" spans="1:33" customFormat="1" ht="46" x14ac:dyDescent="0.35">
      <c r="A115" s="115" t="s">
        <v>386</v>
      </c>
      <c r="B115" s="96" t="s">
        <v>214</v>
      </c>
      <c r="C115" s="93"/>
      <c r="D115" s="57"/>
      <c r="E115" s="77" t="s">
        <v>31</v>
      </c>
      <c r="F115" s="77" t="s">
        <v>31</v>
      </c>
      <c r="G115" s="77" t="s">
        <v>31</v>
      </c>
      <c r="H115" s="57"/>
      <c r="I115" s="77" t="s">
        <v>31</v>
      </c>
      <c r="J115" s="77" t="s">
        <v>31</v>
      </c>
      <c r="K115" s="77" t="s">
        <v>31</v>
      </c>
      <c r="L115" s="57"/>
      <c r="M115" s="77" t="s">
        <v>31</v>
      </c>
      <c r="N115" s="77" t="s">
        <v>31</v>
      </c>
      <c r="O115" s="77" t="s">
        <v>31</v>
      </c>
      <c r="P115" s="57"/>
      <c r="Q115" s="77" t="s">
        <v>31</v>
      </c>
      <c r="R115" s="77" t="s">
        <v>31</v>
      </c>
      <c r="S115" s="77" t="s">
        <v>31</v>
      </c>
      <c r="T115" s="78" t="s">
        <v>215</v>
      </c>
      <c r="U115" s="44"/>
      <c r="V115" s="227">
        <f>15000000/500</f>
        <v>30000</v>
      </c>
      <c r="W115" s="228">
        <f t="shared" ref="W115:W123" si="9">+V115*500</f>
        <v>15000000</v>
      </c>
      <c r="X115" s="82"/>
      <c r="Y115" s="188"/>
      <c r="Z115" s="153" t="s">
        <v>33</v>
      </c>
      <c r="AA115" s="169"/>
      <c r="AB115" s="10"/>
      <c r="AC115" s="10"/>
      <c r="AD115" s="10"/>
      <c r="AE115" s="10"/>
      <c r="AF115" s="10"/>
      <c r="AG115" s="10"/>
    </row>
    <row r="116" spans="1:33" customFormat="1" ht="14.5" x14ac:dyDescent="0.35">
      <c r="A116" s="366" t="s">
        <v>387</v>
      </c>
      <c r="B116" s="96" t="s">
        <v>216</v>
      </c>
      <c r="C116" s="93"/>
      <c r="D116" s="57"/>
      <c r="E116" s="77" t="s">
        <v>31</v>
      </c>
      <c r="F116" s="77" t="s">
        <v>31</v>
      </c>
      <c r="G116" s="77" t="s">
        <v>31</v>
      </c>
      <c r="H116" s="57"/>
      <c r="I116" s="77" t="s">
        <v>31</v>
      </c>
      <c r="J116" s="77" t="s">
        <v>31</v>
      </c>
      <c r="K116" s="77" t="s">
        <v>31</v>
      </c>
      <c r="L116" s="57"/>
      <c r="M116" s="77" t="s">
        <v>31</v>
      </c>
      <c r="N116" s="77" t="s">
        <v>31</v>
      </c>
      <c r="O116" s="77" t="s">
        <v>31</v>
      </c>
      <c r="P116" s="57"/>
      <c r="Q116" s="77" t="s">
        <v>31</v>
      </c>
      <c r="R116" s="77" t="s">
        <v>31</v>
      </c>
      <c r="S116" s="77" t="s">
        <v>31</v>
      </c>
      <c r="T116" s="348" t="s">
        <v>217</v>
      </c>
      <c r="U116" s="44"/>
      <c r="V116" s="229"/>
      <c r="W116" s="228">
        <f t="shared" si="9"/>
        <v>0</v>
      </c>
      <c r="X116" s="82"/>
      <c r="Y116" s="188"/>
      <c r="Z116" s="334" t="s">
        <v>218</v>
      </c>
      <c r="AA116" s="169"/>
      <c r="AB116" s="10"/>
      <c r="AC116" s="10"/>
      <c r="AD116" s="10"/>
      <c r="AE116" s="10"/>
      <c r="AF116" s="10"/>
      <c r="AG116" s="10"/>
    </row>
    <row r="117" spans="1:33" customFormat="1" ht="14.5" x14ac:dyDescent="0.35">
      <c r="A117" s="367"/>
      <c r="B117" s="96" t="s">
        <v>219</v>
      </c>
      <c r="C117" s="93"/>
      <c r="D117" s="57"/>
      <c r="E117" s="77" t="s">
        <v>31</v>
      </c>
      <c r="F117" s="77" t="s">
        <v>31</v>
      </c>
      <c r="G117" s="77" t="s">
        <v>31</v>
      </c>
      <c r="H117" s="57"/>
      <c r="I117" s="77" t="s">
        <v>31</v>
      </c>
      <c r="J117" s="77" t="s">
        <v>31</v>
      </c>
      <c r="K117" s="77" t="s">
        <v>31</v>
      </c>
      <c r="L117" s="57"/>
      <c r="M117" s="77" t="s">
        <v>31</v>
      </c>
      <c r="N117" s="77" t="s">
        <v>31</v>
      </c>
      <c r="O117" s="77" t="s">
        <v>31</v>
      </c>
      <c r="P117" s="57"/>
      <c r="Q117" s="77" t="s">
        <v>31</v>
      </c>
      <c r="R117" s="77" t="s">
        <v>31</v>
      </c>
      <c r="S117" s="77" t="s">
        <v>31</v>
      </c>
      <c r="T117" s="355"/>
      <c r="U117" s="44"/>
      <c r="V117" s="229"/>
      <c r="W117" s="228">
        <f t="shared" si="9"/>
        <v>0</v>
      </c>
      <c r="X117" s="82"/>
      <c r="Y117" s="188"/>
      <c r="Z117" s="332"/>
      <c r="AA117" s="169"/>
      <c r="AB117" s="10"/>
      <c r="AC117" s="10"/>
      <c r="AD117" s="10"/>
      <c r="AE117" s="10"/>
      <c r="AF117" s="10"/>
      <c r="AG117" s="10"/>
    </row>
    <row r="118" spans="1:33" customFormat="1" ht="23" x14ac:dyDescent="0.35">
      <c r="A118" s="368"/>
      <c r="B118" s="96" t="s">
        <v>220</v>
      </c>
      <c r="C118" s="93"/>
      <c r="D118" s="57"/>
      <c r="E118" s="77" t="s">
        <v>31</v>
      </c>
      <c r="F118" s="77" t="s">
        <v>31</v>
      </c>
      <c r="G118" s="77" t="s">
        <v>31</v>
      </c>
      <c r="H118" s="57"/>
      <c r="I118" s="77" t="s">
        <v>31</v>
      </c>
      <c r="J118" s="77" t="s">
        <v>31</v>
      </c>
      <c r="K118" s="77" t="s">
        <v>31</v>
      </c>
      <c r="L118" s="57"/>
      <c r="M118" s="77" t="s">
        <v>31</v>
      </c>
      <c r="N118" s="77" t="s">
        <v>31</v>
      </c>
      <c r="O118" s="77" t="s">
        <v>31</v>
      </c>
      <c r="P118" s="57"/>
      <c r="Q118" s="77" t="s">
        <v>31</v>
      </c>
      <c r="R118" s="77" t="s">
        <v>31</v>
      </c>
      <c r="S118" s="77" t="s">
        <v>31</v>
      </c>
      <c r="T118" s="349"/>
      <c r="U118" s="44"/>
      <c r="V118" s="229">
        <f>2000000/500</f>
        <v>4000</v>
      </c>
      <c r="W118" s="228">
        <f t="shared" si="9"/>
        <v>2000000</v>
      </c>
      <c r="X118" s="82"/>
      <c r="Y118" s="188"/>
      <c r="Z118" s="333"/>
      <c r="AA118" s="169"/>
      <c r="AB118" s="10"/>
      <c r="AC118" s="10"/>
      <c r="AD118" s="10"/>
      <c r="AE118" s="10"/>
      <c r="AF118" s="10"/>
      <c r="AG118" s="10"/>
    </row>
    <row r="119" spans="1:33" customFormat="1" ht="14.65" customHeight="1" x14ac:dyDescent="0.35">
      <c r="A119" s="383" t="s">
        <v>388</v>
      </c>
      <c r="B119" s="96" t="s">
        <v>221</v>
      </c>
      <c r="C119" s="93"/>
      <c r="D119" s="57"/>
      <c r="E119" s="77" t="s">
        <v>31</v>
      </c>
      <c r="F119" s="77" t="s">
        <v>31</v>
      </c>
      <c r="G119" s="77" t="s">
        <v>31</v>
      </c>
      <c r="H119" s="57"/>
      <c r="I119" s="77" t="s">
        <v>31</v>
      </c>
      <c r="J119" s="77" t="s">
        <v>31</v>
      </c>
      <c r="K119" s="77" t="s">
        <v>31</v>
      </c>
      <c r="L119" s="57"/>
      <c r="M119" s="77" t="s">
        <v>31</v>
      </c>
      <c r="N119" s="77" t="s">
        <v>31</v>
      </c>
      <c r="O119" s="77" t="s">
        <v>31</v>
      </c>
      <c r="P119" s="57"/>
      <c r="Q119" s="77" t="s">
        <v>31</v>
      </c>
      <c r="R119" s="77" t="s">
        <v>31</v>
      </c>
      <c r="S119" s="77" t="s">
        <v>31</v>
      </c>
      <c r="T119" s="348" t="s">
        <v>222</v>
      </c>
      <c r="U119" s="44"/>
      <c r="V119" s="167"/>
      <c r="W119" s="228">
        <f t="shared" si="9"/>
        <v>0</v>
      </c>
      <c r="X119" s="82"/>
      <c r="Y119" s="188"/>
      <c r="Z119" s="334" t="s">
        <v>218</v>
      </c>
      <c r="AA119" s="169"/>
      <c r="AB119" s="10"/>
      <c r="AC119" s="10"/>
      <c r="AD119" s="10"/>
      <c r="AE119" s="10"/>
      <c r="AF119" s="10"/>
      <c r="AG119" s="10"/>
    </row>
    <row r="120" spans="1:33" customFormat="1" ht="14.5" x14ac:dyDescent="0.35">
      <c r="A120" s="384"/>
      <c r="B120" s="96" t="s">
        <v>223</v>
      </c>
      <c r="C120" s="93"/>
      <c r="D120" s="57" t="s">
        <v>3</v>
      </c>
      <c r="E120" s="77" t="s">
        <v>31</v>
      </c>
      <c r="F120" s="77" t="s">
        <v>31</v>
      </c>
      <c r="G120" s="77" t="s">
        <v>31</v>
      </c>
      <c r="H120" s="57"/>
      <c r="I120" s="77" t="s">
        <v>31</v>
      </c>
      <c r="J120" s="77" t="s">
        <v>31</v>
      </c>
      <c r="K120" s="77" t="s">
        <v>31</v>
      </c>
      <c r="L120" s="57"/>
      <c r="M120" s="77" t="s">
        <v>31</v>
      </c>
      <c r="N120" s="77" t="s">
        <v>31</v>
      </c>
      <c r="O120" s="77" t="s">
        <v>31</v>
      </c>
      <c r="P120" s="57"/>
      <c r="Q120" s="77" t="s">
        <v>31</v>
      </c>
      <c r="R120" s="77" t="s">
        <v>31</v>
      </c>
      <c r="S120" s="77" t="s">
        <v>31</v>
      </c>
      <c r="T120" s="355"/>
      <c r="U120" s="44"/>
      <c r="V120" s="167"/>
      <c r="W120" s="228">
        <f t="shared" si="9"/>
        <v>0</v>
      </c>
      <c r="X120" s="82"/>
      <c r="Y120" s="188"/>
      <c r="Z120" s="332"/>
      <c r="AA120" s="169"/>
      <c r="AB120" s="10"/>
      <c r="AC120" s="10"/>
      <c r="AD120" s="10"/>
      <c r="AE120" s="10"/>
      <c r="AF120" s="10"/>
      <c r="AG120" s="10"/>
    </row>
    <row r="121" spans="1:33" customFormat="1" ht="14.5" x14ac:dyDescent="0.35">
      <c r="A121" s="384"/>
      <c r="B121" s="96" t="s">
        <v>224</v>
      </c>
      <c r="C121" s="93"/>
      <c r="D121" s="57"/>
      <c r="E121" s="77" t="s">
        <v>31</v>
      </c>
      <c r="F121" s="77" t="s">
        <v>31</v>
      </c>
      <c r="G121" s="77" t="s">
        <v>31</v>
      </c>
      <c r="H121" s="57"/>
      <c r="I121" s="77" t="s">
        <v>31</v>
      </c>
      <c r="J121" s="77" t="s">
        <v>31</v>
      </c>
      <c r="K121" s="77" t="s">
        <v>31</v>
      </c>
      <c r="L121" s="57"/>
      <c r="M121" s="77" t="s">
        <v>31</v>
      </c>
      <c r="N121" s="77" t="s">
        <v>31</v>
      </c>
      <c r="O121" s="77" t="s">
        <v>31</v>
      </c>
      <c r="P121" s="57"/>
      <c r="Q121" s="77" t="s">
        <v>31</v>
      </c>
      <c r="R121" s="77" t="s">
        <v>31</v>
      </c>
      <c r="S121" s="77" t="s">
        <v>31</v>
      </c>
      <c r="T121" s="355"/>
      <c r="U121" s="44"/>
      <c r="V121" s="167"/>
      <c r="W121" s="228">
        <f t="shared" si="9"/>
        <v>0</v>
      </c>
      <c r="X121" s="82"/>
      <c r="Y121" s="188"/>
      <c r="Z121" s="332"/>
      <c r="AA121" s="169"/>
      <c r="AB121" s="10"/>
      <c r="AC121" s="10"/>
      <c r="AD121" s="10"/>
      <c r="AE121" s="10"/>
      <c r="AF121" s="10"/>
      <c r="AG121" s="10"/>
    </row>
    <row r="122" spans="1:33" customFormat="1" ht="14.5" x14ac:dyDescent="0.35">
      <c r="A122" s="384"/>
      <c r="B122" s="96" t="s">
        <v>225</v>
      </c>
      <c r="C122" s="93"/>
      <c r="D122" s="57"/>
      <c r="E122" s="77" t="s">
        <v>31</v>
      </c>
      <c r="F122" s="77" t="s">
        <v>31</v>
      </c>
      <c r="G122" s="77" t="s">
        <v>31</v>
      </c>
      <c r="H122" s="57"/>
      <c r="I122" s="77" t="s">
        <v>31</v>
      </c>
      <c r="J122" s="77" t="s">
        <v>31</v>
      </c>
      <c r="K122" s="77" t="s">
        <v>31</v>
      </c>
      <c r="L122" s="57"/>
      <c r="M122" s="77" t="s">
        <v>31</v>
      </c>
      <c r="N122" s="77" t="s">
        <v>31</v>
      </c>
      <c r="O122" s="77" t="s">
        <v>31</v>
      </c>
      <c r="P122" s="57"/>
      <c r="Q122" s="77" t="s">
        <v>31</v>
      </c>
      <c r="R122" s="77" t="s">
        <v>31</v>
      </c>
      <c r="S122" s="77" t="s">
        <v>31</v>
      </c>
      <c r="T122" s="355"/>
      <c r="U122" s="44"/>
      <c r="V122" s="167">
        <f>2000000/500</f>
        <v>4000</v>
      </c>
      <c r="W122" s="228">
        <f t="shared" si="9"/>
        <v>2000000</v>
      </c>
      <c r="X122" s="82"/>
      <c r="Y122" s="188"/>
      <c r="Z122" s="332"/>
      <c r="AA122" s="169"/>
      <c r="AB122" s="10"/>
      <c r="AC122" s="10"/>
      <c r="AD122" s="10"/>
      <c r="AE122" s="10"/>
      <c r="AF122" s="10"/>
      <c r="AG122" s="10"/>
    </row>
    <row r="123" spans="1:33" customFormat="1" ht="14.5" x14ac:dyDescent="0.35">
      <c r="A123" s="385"/>
      <c r="B123" s="96" t="s">
        <v>226</v>
      </c>
      <c r="C123" s="93"/>
      <c r="D123" s="57"/>
      <c r="E123" s="77" t="s">
        <v>31</v>
      </c>
      <c r="F123" s="77" t="s">
        <v>31</v>
      </c>
      <c r="G123" s="77" t="s">
        <v>31</v>
      </c>
      <c r="H123" s="57"/>
      <c r="I123" s="77" t="s">
        <v>31</v>
      </c>
      <c r="J123" s="77" t="s">
        <v>31</v>
      </c>
      <c r="K123" s="77" t="s">
        <v>31</v>
      </c>
      <c r="L123" s="57"/>
      <c r="M123" s="77" t="s">
        <v>31</v>
      </c>
      <c r="N123" s="77" t="s">
        <v>31</v>
      </c>
      <c r="O123" s="77" t="s">
        <v>31</v>
      </c>
      <c r="P123" s="57"/>
      <c r="Q123" s="77" t="s">
        <v>31</v>
      </c>
      <c r="R123" s="77" t="s">
        <v>31</v>
      </c>
      <c r="S123" s="77" t="s">
        <v>31</v>
      </c>
      <c r="T123" s="349"/>
      <c r="U123" s="44"/>
      <c r="V123" s="167">
        <f>6000000/500</f>
        <v>12000</v>
      </c>
      <c r="W123" s="228">
        <f t="shared" si="9"/>
        <v>6000000</v>
      </c>
      <c r="X123" s="82"/>
      <c r="Y123" s="188"/>
      <c r="Z123" s="333"/>
      <c r="AA123" s="169"/>
      <c r="AB123" s="10"/>
      <c r="AC123" s="10"/>
      <c r="AD123" s="10"/>
      <c r="AE123" s="10"/>
      <c r="AF123" s="10"/>
      <c r="AG123" s="10"/>
    </row>
    <row r="124" spans="1:33" customFormat="1" ht="14.5" x14ac:dyDescent="0.35">
      <c r="A124" s="230" t="s">
        <v>227</v>
      </c>
      <c r="B124" s="231"/>
      <c r="C124" s="232"/>
      <c r="D124" s="233"/>
      <c r="E124" s="351"/>
      <c r="F124" s="351"/>
      <c r="G124" s="351"/>
      <c r="H124" s="234"/>
      <c r="I124" s="351"/>
      <c r="J124" s="351"/>
      <c r="K124" s="351"/>
      <c r="L124" s="234"/>
      <c r="M124" s="351"/>
      <c r="N124" s="351"/>
      <c r="O124" s="351"/>
      <c r="P124" s="234"/>
      <c r="Q124" s="351"/>
      <c r="R124" s="351"/>
      <c r="S124" s="351"/>
      <c r="T124" s="108"/>
      <c r="U124" s="231"/>
      <c r="V124" s="235">
        <f>+V125</f>
        <v>1291192.1159999999</v>
      </c>
      <c r="W124" s="259">
        <f t="shared" ref="W124:W130" si="10">+V124*500</f>
        <v>645596058</v>
      </c>
      <c r="X124" s="236"/>
      <c r="Y124" s="237"/>
      <c r="Z124" s="62"/>
      <c r="AA124" s="169"/>
      <c r="AB124" s="10"/>
      <c r="AC124" s="10"/>
      <c r="AD124" s="10"/>
      <c r="AE124" s="10"/>
      <c r="AF124" s="10"/>
      <c r="AG124" s="10"/>
    </row>
    <row r="125" spans="1:33" s="9" customFormat="1" ht="14.5" x14ac:dyDescent="0.35">
      <c r="A125" s="356" t="s">
        <v>228</v>
      </c>
      <c r="B125" s="357"/>
      <c r="C125" s="238"/>
      <c r="D125" s="239"/>
      <c r="E125" s="239"/>
      <c r="F125" s="239"/>
      <c r="G125" s="239"/>
      <c r="H125" s="239"/>
      <c r="I125" s="239"/>
      <c r="J125" s="239"/>
      <c r="K125" s="239"/>
      <c r="L125" s="239"/>
      <c r="M125" s="239"/>
      <c r="N125" s="239"/>
      <c r="O125" s="239"/>
      <c r="P125" s="239"/>
      <c r="Q125" s="239"/>
      <c r="R125" s="239"/>
      <c r="S125" s="239"/>
      <c r="T125" s="240"/>
      <c r="U125" s="241"/>
      <c r="V125" s="242">
        <f>+SUM(V126:V128)</f>
        <v>1291192.1159999999</v>
      </c>
      <c r="W125" s="243">
        <f t="shared" si="10"/>
        <v>645596058</v>
      </c>
      <c r="X125" s="244"/>
      <c r="Y125" s="245"/>
      <c r="Z125" s="246"/>
      <c r="AA125" s="161"/>
      <c r="AB125" s="8"/>
      <c r="AC125" s="8"/>
      <c r="AD125" s="8"/>
      <c r="AE125" s="8"/>
      <c r="AF125" s="8"/>
      <c r="AG125" s="8"/>
    </row>
    <row r="126" spans="1:33" s="9" customFormat="1" ht="14.5" x14ac:dyDescent="0.25">
      <c r="A126" s="343" t="s">
        <v>389</v>
      </c>
      <c r="B126" s="96" t="s">
        <v>229</v>
      </c>
      <c r="C126" s="247"/>
      <c r="D126" s="370"/>
      <c r="E126" s="96"/>
      <c r="F126" s="96"/>
      <c r="G126" s="96"/>
      <c r="H126" s="57"/>
      <c r="I126" s="96"/>
      <c r="J126" s="96"/>
      <c r="K126" s="96"/>
      <c r="L126" s="57"/>
      <c r="M126" s="77" t="s">
        <v>31</v>
      </c>
      <c r="N126" s="77" t="s">
        <v>31</v>
      </c>
      <c r="O126" s="77" t="s">
        <v>31</v>
      </c>
      <c r="P126" s="57"/>
      <c r="Q126" s="77" t="s">
        <v>31</v>
      </c>
      <c r="R126" s="77" t="s">
        <v>31</v>
      </c>
      <c r="S126" s="77" t="s">
        <v>31</v>
      </c>
      <c r="T126" s="348" t="s">
        <v>230</v>
      </c>
      <c r="U126" s="96"/>
      <c r="V126" s="248">
        <f>673564135*80%/500</f>
        <v>1077702.6159999999</v>
      </c>
      <c r="W126" s="228">
        <f t="shared" si="10"/>
        <v>538851308</v>
      </c>
      <c r="X126" s="82"/>
      <c r="Y126" s="249"/>
      <c r="Z126" s="334" t="s">
        <v>33</v>
      </c>
      <c r="AA126" s="161"/>
      <c r="AB126" s="8"/>
      <c r="AC126" s="8"/>
      <c r="AD126" s="8"/>
      <c r="AE126" s="8"/>
      <c r="AF126" s="8"/>
      <c r="AG126" s="8"/>
    </row>
    <row r="127" spans="1:33" s="9" customFormat="1" ht="14.5" x14ac:dyDescent="0.25">
      <c r="A127" s="344"/>
      <c r="B127" s="96" t="s">
        <v>231</v>
      </c>
      <c r="C127" s="250"/>
      <c r="D127" s="370"/>
      <c r="E127" s="96"/>
      <c r="F127" s="96"/>
      <c r="G127" s="96"/>
      <c r="H127" s="57"/>
      <c r="I127" s="96"/>
      <c r="J127" s="96"/>
      <c r="K127" s="96"/>
      <c r="L127" s="57"/>
      <c r="M127" s="77" t="s">
        <v>31</v>
      </c>
      <c r="N127" s="77" t="s">
        <v>31</v>
      </c>
      <c r="O127" s="77" t="s">
        <v>31</v>
      </c>
      <c r="P127" s="57"/>
      <c r="Q127" s="77" t="s">
        <v>31</v>
      </c>
      <c r="R127" s="77" t="s">
        <v>31</v>
      </c>
      <c r="S127" s="77" t="s">
        <v>31</v>
      </c>
      <c r="T127" s="355"/>
      <c r="U127" s="96"/>
      <c r="V127" s="84">
        <f>+(7664750+26080000)/500</f>
        <v>67489.5</v>
      </c>
      <c r="W127" s="228">
        <f t="shared" si="10"/>
        <v>33744750</v>
      </c>
      <c r="X127" s="82"/>
      <c r="Y127" s="249"/>
      <c r="Z127" s="332"/>
      <c r="AA127" s="161"/>
      <c r="AB127" s="8"/>
      <c r="AC127" s="8"/>
      <c r="AD127" s="8"/>
      <c r="AE127" s="8"/>
      <c r="AF127" s="8"/>
      <c r="AG127" s="8"/>
    </row>
    <row r="128" spans="1:33" s="9" customFormat="1" ht="14.5" x14ac:dyDescent="0.25">
      <c r="A128" s="345"/>
      <c r="B128" s="96" t="s">
        <v>232</v>
      </c>
      <c r="C128" s="219"/>
      <c r="D128" s="370"/>
      <c r="E128" s="96"/>
      <c r="F128" s="96"/>
      <c r="G128" s="96"/>
      <c r="H128" s="57"/>
      <c r="I128" s="96"/>
      <c r="J128" s="96"/>
      <c r="K128" s="96"/>
      <c r="L128" s="57"/>
      <c r="M128" s="96"/>
      <c r="N128" s="96"/>
      <c r="O128" s="96"/>
      <c r="P128" s="57"/>
      <c r="Q128" s="77" t="s">
        <v>31</v>
      </c>
      <c r="R128" s="77" t="s">
        <v>31</v>
      </c>
      <c r="S128" s="77" t="s">
        <v>31</v>
      </c>
      <c r="T128" s="99" t="s">
        <v>233</v>
      </c>
      <c r="U128" s="96"/>
      <c r="V128" s="84">
        <v>146000</v>
      </c>
      <c r="W128" s="228">
        <f t="shared" si="10"/>
        <v>73000000</v>
      </c>
      <c r="X128" s="251" t="s">
        <v>3</v>
      </c>
      <c r="Y128" s="249"/>
      <c r="Z128" s="333"/>
      <c r="AA128" s="161"/>
      <c r="AB128" s="8"/>
      <c r="AC128" s="8"/>
      <c r="AD128" s="8"/>
      <c r="AE128" s="8"/>
      <c r="AF128" s="8"/>
      <c r="AG128" s="8"/>
    </row>
    <row r="129" spans="1:33" s="8" customFormat="1" ht="34.5" x14ac:dyDescent="0.35">
      <c r="A129" s="353" t="s">
        <v>234</v>
      </c>
      <c r="B129" s="354"/>
      <c r="C129" s="252"/>
      <c r="D129" s="253"/>
      <c r="E129" s="358"/>
      <c r="F129" s="358"/>
      <c r="G129" s="358"/>
      <c r="H129" s="254"/>
      <c r="I129" s="358"/>
      <c r="J129" s="358"/>
      <c r="K129" s="358"/>
      <c r="L129" s="254"/>
      <c r="M129" s="358"/>
      <c r="N129" s="358"/>
      <c r="O129" s="358"/>
      <c r="P129" s="254"/>
      <c r="Q129" s="358"/>
      <c r="R129" s="358"/>
      <c r="S129" s="358"/>
      <c r="T129" s="255"/>
      <c r="U129" s="256"/>
      <c r="V129" s="257">
        <f>+V130+V142</f>
        <v>700000</v>
      </c>
      <c r="W129" s="258">
        <f t="shared" si="10"/>
        <v>350000000</v>
      </c>
      <c r="X129" s="259"/>
      <c r="Y129" s="260"/>
      <c r="Z129" s="261" t="s">
        <v>235</v>
      </c>
      <c r="AA129" s="161"/>
    </row>
    <row r="130" spans="1:33" s="35" customFormat="1" ht="28.15" customHeight="1" x14ac:dyDescent="0.35">
      <c r="A130" s="371" t="s">
        <v>236</v>
      </c>
      <c r="B130" s="371"/>
      <c r="C130" s="262"/>
      <c r="D130" s="155"/>
      <c r="E130" s="155"/>
      <c r="F130" s="155"/>
      <c r="G130" s="155"/>
      <c r="H130" s="155"/>
      <c r="I130" s="155"/>
      <c r="J130" s="155"/>
      <c r="K130" s="155"/>
      <c r="L130" s="155"/>
      <c r="M130" s="155"/>
      <c r="N130" s="155"/>
      <c r="O130" s="155"/>
      <c r="P130" s="155"/>
      <c r="Q130" s="155"/>
      <c r="R130" s="155"/>
      <c r="S130" s="155"/>
      <c r="T130" s="160"/>
      <c r="U130" s="155"/>
      <c r="V130" s="263">
        <f>+V131+V138</f>
        <v>100000</v>
      </c>
      <c r="W130" s="264">
        <f t="shared" si="10"/>
        <v>50000000</v>
      </c>
      <c r="X130" s="155"/>
      <c r="Y130" s="155"/>
      <c r="Z130" s="161" t="s">
        <v>237</v>
      </c>
      <c r="AA130" s="265"/>
      <c r="AB130" s="34"/>
      <c r="AC130" s="34"/>
      <c r="AD130" s="34"/>
      <c r="AE130" s="34"/>
      <c r="AF130" s="34"/>
      <c r="AG130" s="34"/>
    </row>
    <row r="131" spans="1:33" s="35" customFormat="1" ht="14.5" x14ac:dyDescent="0.35">
      <c r="A131" s="266"/>
      <c r="B131" s="267" t="s">
        <v>238</v>
      </c>
      <c r="C131" s="268"/>
      <c r="D131" s="120"/>
      <c r="E131" s="269"/>
      <c r="F131" s="269"/>
      <c r="G131" s="269"/>
      <c r="H131" s="269"/>
      <c r="I131" s="269"/>
      <c r="J131" s="269"/>
      <c r="K131" s="269"/>
      <c r="L131" s="269"/>
      <c r="M131" s="269"/>
      <c r="N131" s="269"/>
      <c r="O131" s="269"/>
      <c r="P131" s="269"/>
      <c r="Q131" s="269"/>
      <c r="R131" s="269"/>
      <c r="S131" s="269"/>
      <c r="T131" s="270"/>
      <c r="U131" s="271"/>
      <c r="V131" s="272">
        <f>+SUM(V132:V137)</f>
        <v>50000</v>
      </c>
      <c r="W131" s="272">
        <f>+SUM(W132:W137)</f>
        <v>25000000</v>
      </c>
      <c r="X131" s="273"/>
      <c r="Y131" s="274"/>
      <c r="Z131" s="275"/>
      <c r="AA131" s="265"/>
      <c r="AB131" s="34"/>
      <c r="AC131" s="34"/>
      <c r="AD131" s="34"/>
      <c r="AE131" s="34"/>
      <c r="AF131" s="34"/>
      <c r="AG131" s="34"/>
    </row>
    <row r="132" spans="1:33" s="35" customFormat="1" ht="34.5" x14ac:dyDescent="0.35">
      <c r="A132" s="276"/>
      <c r="B132" s="96" t="s">
        <v>239</v>
      </c>
      <c r="C132" s="93"/>
      <c r="D132" s="57"/>
      <c r="E132" s="77" t="s">
        <v>31</v>
      </c>
      <c r="F132" s="77" t="s">
        <v>31</v>
      </c>
      <c r="G132" s="77" t="s">
        <v>31</v>
      </c>
      <c r="H132" s="57"/>
      <c r="I132" s="96"/>
      <c r="J132" s="96"/>
      <c r="K132" s="96"/>
      <c r="L132" s="57"/>
      <c r="M132" s="96"/>
      <c r="N132" s="96"/>
      <c r="O132" s="96"/>
      <c r="P132" s="57"/>
      <c r="Q132" s="96"/>
      <c r="R132" s="96"/>
      <c r="S132" s="96"/>
      <c r="T132" s="99" t="s">
        <v>240</v>
      </c>
      <c r="U132" s="271"/>
      <c r="V132" s="277">
        <f>6000000/500</f>
        <v>12000</v>
      </c>
      <c r="W132" s="278">
        <f>+V132*500</f>
        <v>6000000</v>
      </c>
      <c r="X132" s="273"/>
      <c r="Y132" s="274"/>
      <c r="Z132" s="44"/>
      <c r="AA132" s="265"/>
      <c r="AB132" s="34"/>
      <c r="AC132" s="34"/>
      <c r="AD132" s="34"/>
      <c r="AE132" s="34"/>
      <c r="AF132" s="34"/>
      <c r="AG132" s="34"/>
    </row>
    <row r="133" spans="1:33" s="35" customFormat="1" ht="46" x14ac:dyDescent="0.35">
      <c r="A133" s="276"/>
      <c r="B133" s="96" t="s">
        <v>241</v>
      </c>
      <c r="C133" s="93"/>
      <c r="D133" s="57"/>
      <c r="E133" s="96"/>
      <c r="F133" s="96"/>
      <c r="G133" s="96"/>
      <c r="H133" s="57"/>
      <c r="I133" s="77" t="s">
        <v>31</v>
      </c>
      <c r="J133" s="77" t="s">
        <v>31</v>
      </c>
      <c r="K133" s="77" t="s">
        <v>31</v>
      </c>
      <c r="L133" s="57"/>
      <c r="M133" s="96"/>
      <c r="N133" s="96"/>
      <c r="O133" s="96"/>
      <c r="P133" s="57"/>
      <c r="Q133" s="96"/>
      <c r="R133" s="96"/>
      <c r="S133" s="96"/>
      <c r="T133" s="99" t="s">
        <v>242</v>
      </c>
      <c r="U133" s="271"/>
      <c r="V133" s="279">
        <f>8000000/500</f>
        <v>16000</v>
      </c>
      <c r="W133" s="278">
        <f t="shared" ref="W133:W141" si="11">+V133*500</f>
        <v>8000000</v>
      </c>
      <c r="X133" s="273"/>
      <c r="Y133" s="274"/>
      <c r="Z133" s="275"/>
      <c r="AA133" s="265"/>
      <c r="AB133" s="34"/>
      <c r="AC133" s="34"/>
      <c r="AD133" s="34"/>
      <c r="AE133" s="34"/>
      <c r="AF133" s="34"/>
      <c r="AG133" s="34"/>
    </row>
    <row r="134" spans="1:33" s="35" customFormat="1" ht="23" x14ac:dyDescent="0.35">
      <c r="A134" s="276"/>
      <c r="B134" s="96" t="s">
        <v>243</v>
      </c>
      <c r="C134" s="93"/>
      <c r="D134" s="57"/>
      <c r="E134" s="96"/>
      <c r="F134" s="96"/>
      <c r="G134" s="96"/>
      <c r="H134" s="57"/>
      <c r="I134" s="96"/>
      <c r="J134" s="96"/>
      <c r="K134" s="96"/>
      <c r="L134" s="57"/>
      <c r="M134" s="96"/>
      <c r="N134" s="96"/>
      <c r="O134" s="96"/>
      <c r="P134" s="57"/>
      <c r="Q134" s="77" t="s">
        <v>31</v>
      </c>
      <c r="R134" s="77" t="s">
        <v>31</v>
      </c>
      <c r="S134" s="77" t="s">
        <v>31</v>
      </c>
      <c r="T134" s="99" t="s">
        <v>244</v>
      </c>
      <c r="U134" s="271"/>
      <c r="V134" s="279"/>
      <c r="W134" s="278">
        <f t="shared" si="11"/>
        <v>0</v>
      </c>
      <c r="X134" s="273"/>
      <c r="Y134" s="274"/>
      <c r="Z134" s="275"/>
      <c r="AA134" s="265"/>
      <c r="AB134" s="34"/>
      <c r="AC134" s="34"/>
      <c r="AD134" s="34"/>
      <c r="AE134" s="34"/>
      <c r="AF134" s="34"/>
      <c r="AG134" s="34"/>
    </row>
    <row r="135" spans="1:33" s="35" customFormat="1" ht="34.5" x14ac:dyDescent="0.35">
      <c r="A135" s="276"/>
      <c r="B135" s="96" t="s">
        <v>245</v>
      </c>
      <c r="C135" s="93"/>
      <c r="D135" s="57"/>
      <c r="E135" s="96"/>
      <c r="F135" s="96"/>
      <c r="G135" s="96"/>
      <c r="H135" s="57"/>
      <c r="I135" s="96"/>
      <c r="J135" s="96"/>
      <c r="K135" s="96"/>
      <c r="L135" s="57"/>
      <c r="M135" s="77" t="s">
        <v>31</v>
      </c>
      <c r="N135" s="77" t="s">
        <v>31</v>
      </c>
      <c r="O135" s="77" t="s">
        <v>31</v>
      </c>
      <c r="P135" s="57"/>
      <c r="Q135" s="77" t="s">
        <v>31</v>
      </c>
      <c r="R135" s="77" t="s">
        <v>31</v>
      </c>
      <c r="S135" s="77" t="s">
        <v>31</v>
      </c>
      <c r="T135" s="99" t="s">
        <v>246</v>
      </c>
      <c r="U135" s="271"/>
      <c r="V135" s="279">
        <f>5000000/500</f>
        <v>10000</v>
      </c>
      <c r="W135" s="278">
        <f t="shared" si="11"/>
        <v>5000000</v>
      </c>
      <c r="X135" s="273"/>
      <c r="Y135" s="274"/>
      <c r="Z135" s="275"/>
      <c r="AA135" s="265"/>
      <c r="AB135" s="34"/>
      <c r="AC135" s="34"/>
      <c r="AD135" s="34"/>
      <c r="AE135" s="34"/>
      <c r="AF135" s="34"/>
      <c r="AG135" s="34"/>
    </row>
    <row r="136" spans="1:33" s="35" customFormat="1" ht="34.5" x14ac:dyDescent="0.35">
      <c r="A136" s="276"/>
      <c r="B136" s="96" t="s">
        <v>247</v>
      </c>
      <c r="C136" s="93"/>
      <c r="D136" s="57"/>
      <c r="E136" s="96"/>
      <c r="F136" s="96"/>
      <c r="G136" s="96"/>
      <c r="H136" s="57"/>
      <c r="I136" s="96"/>
      <c r="J136" s="96"/>
      <c r="K136" s="96"/>
      <c r="L136" s="57"/>
      <c r="M136" s="96"/>
      <c r="N136" s="96"/>
      <c r="O136" s="96"/>
      <c r="P136" s="57"/>
      <c r="Q136" s="77" t="s">
        <v>31</v>
      </c>
      <c r="R136" s="77" t="s">
        <v>31</v>
      </c>
      <c r="S136" s="77" t="s">
        <v>31</v>
      </c>
      <c r="T136" s="99" t="s">
        <v>390</v>
      </c>
      <c r="U136" s="271"/>
      <c r="V136" s="279">
        <f>3000000/500</f>
        <v>6000</v>
      </c>
      <c r="W136" s="278">
        <f t="shared" si="11"/>
        <v>3000000</v>
      </c>
      <c r="X136" s="273"/>
      <c r="Y136" s="274"/>
      <c r="Z136" s="275"/>
      <c r="AA136" s="265"/>
      <c r="AB136" s="34"/>
      <c r="AC136" s="34"/>
      <c r="AD136" s="34"/>
      <c r="AE136" s="34"/>
      <c r="AF136" s="34"/>
      <c r="AG136" s="34"/>
    </row>
    <row r="137" spans="1:33" s="35" customFormat="1" ht="23" x14ac:dyDescent="0.35">
      <c r="A137" s="276"/>
      <c r="B137" s="96" t="s">
        <v>248</v>
      </c>
      <c r="C137" s="93"/>
      <c r="D137" s="57"/>
      <c r="E137" s="96"/>
      <c r="F137" s="96"/>
      <c r="G137" s="96"/>
      <c r="H137" s="57"/>
      <c r="I137" s="96"/>
      <c r="J137" s="96"/>
      <c r="K137" s="96"/>
      <c r="L137" s="57"/>
      <c r="M137" s="77" t="s">
        <v>31</v>
      </c>
      <c r="N137" s="77" t="s">
        <v>31</v>
      </c>
      <c r="O137" s="77" t="s">
        <v>31</v>
      </c>
      <c r="P137" s="57"/>
      <c r="Q137" s="77" t="s">
        <v>31</v>
      </c>
      <c r="R137" s="77" t="s">
        <v>31</v>
      </c>
      <c r="S137" s="77" t="s">
        <v>31</v>
      </c>
      <c r="T137" s="99" t="s">
        <v>249</v>
      </c>
      <c r="U137" s="271"/>
      <c r="V137" s="279">
        <f>3000000/500</f>
        <v>6000</v>
      </c>
      <c r="W137" s="278">
        <f t="shared" si="11"/>
        <v>3000000</v>
      </c>
      <c r="X137" s="273"/>
      <c r="Y137" s="274"/>
      <c r="Z137" s="275"/>
      <c r="AA137" s="265"/>
      <c r="AB137" s="34"/>
      <c r="AC137" s="34"/>
      <c r="AD137" s="34"/>
      <c r="AE137" s="34"/>
      <c r="AF137" s="34"/>
      <c r="AG137" s="34"/>
    </row>
    <row r="138" spans="1:33" s="35" customFormat="1" ht="32.5" customHeight="1" x14ac:dyDescent="0.35">
      <c r="A138" s="276"/>
      <c r="B138" s="267" t="s">
        <v>250</v>
      </c>
      <c r="C138" s="268"/>
      <c r="D138" s="120"/>
      <c r="E138" s="269"/>
      <c r="F138" s="269"/>
      <c r="G138" s="269"/>
      <c r="H138" s="269"/>
      <c r="I138" s="269"/>
      <c r="J138" s="269"/>
      <c r="K138" s="269"/>
      <c r="L138" s="269"/>
      <c r="M138" s="269"/>
      <c r="N138" s="269"/>
      <c r="O138" s="269"/>
      <c r="P138" s="269"/>
      <c r="Q138" s="269"/>
      <c r="R138" s="269"/>
      <c r="S138" s="269"/>
      <c r="T138" s="270"/>
      <c r="U138" s="271"/>
      <c r="V138" s="280">
        <f>+SUM(V139:V141)</f>
        <v>50000</v>
      </c>
      <c r="W138" s="280">
        <f>+SUM(W139:W141)</f>
        <v>25000000</v>
      </c>
      <c r="X138" s="273"/>
      <c r="Y138" s="274"/>
      <c r="Z138" s="275"/>
      <c r="AA138" s="265"/>
      <c r="AB138" s="34"/>
      <c r="AC138" s="34"/>
      <c r="AD138" s="34"/>
      <c r="AE138" s="34"/>
      <c r="AF138" s="34"/>
      <c r="AG138" s="34"/>
    </row>
    <row r="139" spans="1:33" s="35" customFormat="1" ht="14.5" x14ac:dyDescent="0.35">
      <c r="A139" s="276"/>
      <c r="B139" s="96" t="s">
        <v>251</v>
      </c>
      <c r="C139" s="93"/>
      <c r="D139" s="57"/>
      <c r="E139" s="77" t="s">
        <v>31</v>
      </c>
      <c r="F139" s="77" t="s">
        <v>31</v>
      </c>
      <c r="G139" s="77" t="s">
        <v>31</v>
      </c>
      <c r="H139" s="57"/>
      <c r="I139" s="77" t="s">
        <v>31</v>
      </c>
      <c r="J139" s="77" t="s">
        <v>31</v>
      </c>
      <c r="K139" s="77" t="s">
        <v>31</v>
      </c>
      <c r="L139" s="57"/>
      <c r="M139" s="77" t="s">
        <v>31</v>
      </c>
      <c r="N139" s="77" t="s">
        <v>31</v>
      </c>
      <c r="O139" s="77" t="s">
        <v>31</v>
      </c>
      <c r="P139" s="57"/>
      <c r="Q139" s="77" t="s">
        <v>31</v>
      </c>
      <c r="R139" s="77" t="s">
        <v>31</v>
      </c>
      <c r="S139" s="77" t="s">
        <v>31</v>
      </c>
      <c r="T139" s="99" t="s">
        <v>252</v>
      </c>
      <c r="U139" s="271"/>
      <c r="V139" s="281">
        <f>10000000/500</f>
        <v>20000</v>
      </c>
      <c r="W139" s="278">
        <f t="shared" si="11"/>
        <v>10000000</v>
      </c>
      <c r="X139" s="273"/>
      <c r="Y139" s="274"/>
      <c r="Z139" s="275"/>
      <c r="AA139" s="265"/>
      <c r="AB139" s="34"/>
      <c r="AC139" s="34"/>
      <c r="AD139" s="34"/>
      <c r="AE139" s="34"/>
      <c r="AF139" s="34"/>
      <c r="AG139" s="34"/>
    </row>
    <row r="140" spans="1:33" s="35" customFormat="1" ht="14.5" x14ac:dyDescent="0.35">
      <c r="A140" s="276"/>
      <c r="B140" s="96" t="s">
        <v>253</v>
      </c>
      <c r="C140" s="93"/>
      <c r="D140" s="57"/>
      <c r="E140" s="96"/>
      <c r="F140" s="96"/>
      <c r="G140" s="96"/>
      <c r="H140" s="57"/>
      <c r="I140" s="77" t="s">
        <v>31</v>
      </c>
      <c r="J140" s="77" t="s">
        <v>31</v>
      </c>
      <c r="K140" s="77" t="s">
        <v>31</v>
      </c>
      <c r="L140" s="57"/>
      <c r="M140" s="77" t="s">
        <v>31</v>
      </c>
      <c r="N140" s="77" t="s">
        <v>31</v>
      </c>
      <c r="O140" s="77" t="s">
        <v>31</v>
      </c>
      <c r="P140" s="57"/>
      <c r="Q140" s="77" t="s">
        <v>31</v>
      </c>
      <c r="R140" s="77" t="s">
        <v>31</v>
      </c>
      <c r="S140" s="77" t="s">
        <v>31</v>
      </c>
      <c r="T140" s="99" t="s">
        <v>254</v>
      </c>
      <c r="U140" s="271"/>
      <c r="V140" s="281">
        <f>5000000/500</f>
        <v>10000</v>
      </c>
      <c r="W140" s="278">
        <f t="shared" si="11"/>
        <v>5000000</v>
      </c>
      <c r="X140" s="273"/>
      <c r="Y140" s="274"/>
      <c r="Z140" s="275"/>
      <c r="AA140" s="265"/>
      <c r="AB140" s="34"/>
      <c r="AC140" s="34"/>
      <c r="AD140" s="34"/>
      <c r="AE140" s="34"/>
      <c r="AF140" s="34"/>
      <c r="AG140" s="34"/>
    </row>
    <row r="141" spans="1:33" s="35" customFormat="1" ht="23" x14ac:dyDescent="0.35">
      <c r="A141" s="276"/>
      <c r="B141" s="96" t="s">
        <v>255</v>
      </c>
      <c r="C141" s="93"/>
      <c r="D141" s="57"/>
      <c r="E141" s="96"/>
      <c r="F141" s="96"/>
      <c r="G141" s="96"/>
      <c r="H141" s="57"/>
      <c r="I141" s="77" t="s">
        <v>31</v>
      </c>
      <c r="J141" s="77" t="s">
        <v>31</v>
      </c>
      <c r="K141" s="77" t="s">
        <v>31</v>
      </c>
      <c r="L141" s="57"/>
      <c r="M141" s="77" t="s">
        <v>31</v>
      </c>
      <c r="N141" s="77" t="s">
        <v>31</v>
      </c>
      <c r="O141" s="77" t="s">
        <v>31</v>
      </c>
      <c r="P141" s="57"/>
      <c r="Q141" s="77" t="s">
        <v>31</v>
      </c>
      <c r="R141" s="77" t="s">
        <v>31</v>
      </c>
      <c r="S141" s="77" t="s">
        <v>31</v>
      </c>
      <c r="T141" s="99" t="s">
        <v>256</v>
      </c>
      <c r="U141" s="271"/>
      <c r="V141" s="281">
        <f>10000000/500</f>
        <v>20000</v>
      </c>
      <c r="W141" s="278">
        <f t="shared" si="11"/>
        <v>10000000</v>
      </c>
      <c r="X141" s="273"/>
      <c r="Y141" s="274"/>
      <c r="Z141" s="275"/>
      <c r="AA141" s="265"/>
      <c r="AB141" s="34"/>
      <c r="AC141" s="34"/>
      <c r="AD141" s="34"/>
      <c r="AE141" s="34"/>
      <c r="AF141" s="34"/>
      <c r="AG141" s="34"/>
    </row>
    <row r="142" spans="1:33" s="35" customFormat="1" ht="14.5" x14ac:dyDescent="0.35">
      <c r="A142" s="155" t="s">
        <v>257</v>
      </c>
      <c r="B142" s="155"/>
      <c r="C142" s="155"/>
      <c r="D142" s="155"/>
      <c r="E142" s="155"/>
      <c r="F142" s="155"/>
      <c r="G142" s="155"/>
      <c r="H142" s="155"/>
      <c r="I142" s="155"/>
      <c r="J142" s="155"/>
      <c r="K142" s="155"/>
      <c r="L142" s="155"/>
      <c r="M142" s="155"/>
      <c r="N142" s="155"/>
      <c r="O142" s="155"/>
      <c r="P142" s="155"/>
      <c r="Q142" s="155"/>
      <c r="R142" s="155"/>
      <c r="S142" s="155"/>
      <c r="T142" s="155"/>
      <c r="U142" s="155"/>
      <c r="V142" s="323">
        <f>+V143+V165</f>
        <v>600000</v>
      </c>
      <c r="W142" s="133">
        <f>+V142*500</f>
        <v>300000000</v>
      </c>
      <c r="X142" s="155"/>
      <c r="Y142" s="155"/>
      <c r="Z142" s="155"/>
      <c r="AA142" s="265"/>
      <c r="AB142" s="34"/>
      <c r="AC142" s="34"/>
      <c r="AD142" s="34"/>
      <c r="AE142" s="34"/>
      <c r="AF142" s="34"/>
      <c r="AG142" s="34"/>
    </row>
    <row r="143" spans="1:33" s="31" customFormat="1" x14ac:dyDescent="0.3">
      <c r="A143" s="372" t="s">
        <v>258</v>
      </c>
      <c r="B143" s="372"/>
      <c r="C143" s="282"/>
      <c r="D143" s="283"/>
      <c r="E143" s="283"/>
      <c r="F143" s="283"/>
      <c r="G143" s="284"/>
      <c r="H143" s="284"/>
      <c r="I143" s="284"/>
      <c r="J143" s="284"/>
      <c r="K143" s="284"/>
      <c r="L143" s="284"/>
      <c r="M143" s="284"/>
      <c r="N143" s="284"/>
      <c r="O143" s="284"/>
      <c r="P143" s="284"/>
      <c r="Q143" s="284"/>
      <c r="R143" s="284"/>
      <c r="S143" s="284"/>
      <c r="T143" s="285"/>
      <c r="U143" s="283"/>
      <c r="V143" s="324">
        <f>+V144+V151+V159</f>
        <v>300000</v>
      </c>
      <c r="W143" s="325">
        <f>+V143*500</f>
        <v>150000000</v>
      </c>
      <c r="X143" s="284"/>
      <c r="Y143" s="284"/>
      <c r="Z143" s="284"/>
      <c r="AA143" s="288"/>
      <c r="AB143" s="30"/>
      <c r="AC143" s="30"/>
      <c r="AD143" s="30"/>
      <c r="AE143" s="30"/>
      <c r="AF143" s="30"/>
      <c r="AG143" s="30"/>
    </row>
    <row r="144" spans="1:33" s="31" customFormat="1" ht="16.149999999999999" customHeight="1" x14ac:dyDescent="0.3">
      <c r="A144" s="373" t="s">
        <v>259</v>
      </c>
      <c r="B144" s="289"/>
      <c r="C144" s="290"/>
      <c r="D144" s="289"/>
      <c r="E144" s="289"/>
      <c r="F144" s="289"/>
      <c r="G144" s="289"/>
      <c r="H144" s="289"/>
      <c r="I144" s="289"/>
      <c r="J144" s="289"/>
      <c r="K144" s="289"/>
      <c r="L144" s="289"/>
      <c r="M144" s="289"/>
      <c r="N144" s="289"/>
      <c r="O144" s="289"/>
      <c r="P144" s="289"/>
      <c r="Q144" s="289"/>
      <c r="R144" s="289"/>
      <c r="S144" s="289"/>
      <c r="T144" s="43"/>
      <c r="U144" s="289"/>
      <c r="V144" s="291">
        <f>+SUM(V145:V150)</f>
        <v>100000</v>
      </c>
      <c r="W144" s="301">
        <f>+SUM(W145:W150)</f>
        <v>50000000</v>
      </c>
      <c r="X144" s="292"/>
      <c r="Y144" s="293"/>
      <c r="Z144" s="289"/>
      <c r="AA144" s="288"/>
      <c r="AB144" s="30"/>
      <c r="AC144" s="30"/>
      <c r="AD144" s="30"/>
      <c r="AE144" s="30"/>
      <c r="AF144" s="30"/>
      <c r="AG144" s="30"/>
    </row>
    <row r="145" spans="1:33" ht="27.5" customHeight="1" x14ac:dyDescent="0.3">
      <c r="A145" s="373"/>
      <c r="B145" s="96" t="s">
        <v>260</v>
      </c>
      <c r="C145" s="93"/>
      <c r="D145" s="57"/>
      <c r="E145" s="96"/>
      <c r="F145" s="96"/>
      <c r="G145" s="96"/>
      <c r="H145" s="57"/>
      <c r="I145" s="77" t="s">
        <v>31</v>
      </c>
      <c r="J145" s="77" t="s">
        <v>31</v>
      </c>
      <c r="K145" s="77" t="s">
        <v>31</v>
      </c>
      <c r="L145" s="57"/>
      <c r="M145" s="77" t="s">
        <v>31</v>
      </c>
      <c r="N145" s="77" t="s">
        <v>31</v>
      </c>
      <c r="O145" s="77" t="s">
        <v>31</v>
      </c>
      <c r="P145" s="57"/>
      <c r="Q145" s="96"/>
      <c r="R145" s="96"/>
      <c r="S145" s="96"/>
      <c r="T145" s="99" t="s">
        <v>261</v>
      </c>
      <c r="U145" s="44"/>
      <c r="V145" s="328">
        <f>5000000/500</f>
        <v>10000</v>
      </c>
      <c r="W145" s="326">
        <f t="shared" ref="W145:W182" si="12">+V145*500</f>
        <v>5000000</v>
      </c>
      <c r="X145" s="294"/>
      <c r="Y145" s="40"/>
      <c r="Z145" s="44"/>
    </row>
    <row r="146" spans="1:33" ht="18.5" customHeight="1" x14ac:dyDescent="0.3">
      <c r="A146" s="373"/>
      <c r="B146" s="96" t="s">
        <v>262</v>
      </c>
      <c r="C146" s="93"/>
      <c r="D146" s="57"/>
      <c r="E146" s="77" t="s">
        <v>31</v>
      </c>
      <c r="F146" s="77" t="s">
        <v>31</v>
      </c>
      <c r="G146" s="77" t="s">
        <v>31</v>
      </c>
      <c r="H146" s="57"/>
      <c r="I146" s="77" t="s">
        <v>31</v>
      </c>
      <c r="J146" s="77" t="s">
        <v>31</v>
      </c>
      <c r="K146" s="77" t="s">
        <v>31</v>
      </c>
      <c r="L146" s="57"/>
      <c r="M146" s="77" t="s">
        <v>31</v>
      </c>
      <c r="N146" s="77" t="s">
        <v>31</v>
      </c>
      <c r="O146" s="77" t="s">
        <v>31</v>
      </c>
      <c r="P146" s="57"/>
      <c r="Q146" s="77" t="s">
        <v>31</v>
      </c>
      <c r="R146" s="77" t="s">
        <v>31</v>
      </c>
      <c r="S146" s="77" t="s">
        <v>31</v>
      </c>
      <c r="T146" s="99" t="s">
        <v>263</v>
      </c>
      <c r="U146" s="44"/>
      <c r="V146" s="328">
        <f>5000000/500</f>
        <v>10000</v>
      </c>
      <c r="W146" s="326">
        <f t="shared" si="12"/>
        <v>5000000</v>
      </c>
      <c r="X146" s="294"/>
      <c r="Y146" s="123"/>
      <c r="Z146" s="44"/>
    </row>
    <row r="147" spans="1:33" ht="30.5" customHeight="1" x14ac:dyDescent="0.3">
      <c r="A147" s="373"/>
      <c r="B147" s="96" t="s">
        <v>264</v>
      </c>
      <c r="C147" s="93"/>
      <c r="D147" s="57"/>
      <c r="E147" s="96"/>
      <c r="F147" s="96"/>
      <c r="G147" s="96"/>
      <c r="H147" s="57"/>
      <c r="I147" s="77" t="s">
        <v>31</v>
      </c>
      <c r="J147" s="77" t="s">
        <v>31</v>
      </c>
      <c r="K147" s="77" t="s">
        <v>31</v>
      </c>
      <c r="L147" s="57"/>
      <c r="M147" s="77" t="s">
        <v>31</v>
      </c>
      <c r="N147" s="77" t="s">
        <v>31</v>
      </c>
      <c r="O147" s="77" t="s">
        <v>31</v>
      </c>
      <c r="P147" s="57"/>
      <c r="Q147" s="77" t="s">
        <v>31</v>
      </c>
      <c r="R147" s="77" t="s">
        <v>31</v>
      </c>
      <c r="S147" s="77" t="s">
        <v>31</v>
      </c>
      <c r="T147" s="99" t="s">
        <v>265</v>
      </c>
      <c r="U147" s="44"/>
      <c r="V147" s="327">
        <f>10000000/500</f>
        <v>20000</v>
      </c>
      <c r="W147" s="326">
        <f t="shared" si="12"/>
        <v>10000000</v>
      </c>
      <c r="X147" s="294"/>
      <c r="Y147" s="295"/>
      <c r="Z147" s="44"/>
    </row>
    <row r="148" spans="1:33" ht="29.5" customHeight="1" x14ac:dyDescent="0.3">
      <c r="A148" s="373"/>
      <c r="B148" s="96" t="s">
        <v>266</v>
      </c>
      <c r="C148" s="93"/>
      <c r="D148" s="57"/>
      <c r="E148" s="77" t="s">
        <v>31</v>
      </c>
      <c r="F148" s="77" t="s">
        <v>31</v>
      </c>
      <c r="G148" s="77" t="s">
        <v>31</v>
      </c>
      <c r="H148" s="57"/>
      <c r="I148" s="77" t="s">
        <v>31</v>
      </c>
      <c r="J148" s="77" t="s">
        <v>31</v>
      </c>
      <c r="K148" s="77" t="s">
        <v>31</v>
      </c>
      <c r="L148" s="57"/>
      <c r="M148" s="77" t="s">
        <v>31</v>
      </c>
      <c r="N148" s="77" t="s">
        <v>31</v>
      </c>
      <c r="O148" s="77" t="s">
        <v>31</v>
      </c>
      <c r="P148" s="57"/>
      <c r="Q148" s="77" t="s">
        <v>31</v>
      </c>
      <c r="R148" s="77" t="s">
        <v>31</v>
      </c>
      <c r="S148" s="77" t="s">
        <v>31</v>
      </c>
      <c r="T148" s="99" t="s">
        <v>267</v>
      </c>
      <c r="U148" s="44"/>
      <c r="V148" s="327">
        <f>22000000/500</f>
        <v>44000</v>
      </c>
      <c r="W148" s="326">
        <f t="shared" si="12"/>
        <v>22000000</v>
      </c>
      <c r="X148" s="294"/>
      <c r="Y148" s="123"/>
      <c r="Z148" s="44"/>
    </row>
    <row r="149" spans="1:33" ht="29.5" customHeight="1" x14ac:dyDescent="0.3">
      <c r="A149" s="373"/>
      <c r="B149" s="96" t="s">
        <v>268</v>
      </c>
      <c r="C149" s="93"/>
      <c r="D149" s="57"/>
      <c r="E149" s="96"/>
      <c r="F149" s="96"/>
      <c r="G149" s="96"/>
      <c r="H149" s="57"/>
      <c r="I149" s="96"/>
      <c r="J149" s="96"/>
      <c r="K149" s="96"/>
      <c r="L149" s="57"/>
      <c r="M149" s="77" t="s">
        <v>31</v>
      </c>
      <c r="N149" s="77" t="s">
        <v>31</v>
      </c>
      <c r="O149" s="77" t="s">
        <v>31</v>
      </c>
      <c r="P149" s="57"/>
      <c r="Q149" s="77" t="s">
        <v>31</v>
      </c>
      <c r="R149" s="77" t="s">
        <v>31</v>
      </c>
      <c r="S149" s="77" t="s">
        <v>31</v>
      </c>
      <c r="T149" s="78" t="s">
        <v>269</v>
      </c>
      <c r="U149" s="44"/>
      <c r="V149" s="327">
        <f>3000000/500</f>
        <v>6000</v>
      </c>
      <c r="W149" s="326">
        <f t="shared" si="12"/>
        <v>3000000</v>
      </c>
      <c r="X149" s="294"/>
      <c r="Y149" s="123"/>
      <c r="Z149" s="44"/>
    </row>
    <row r="150" spans="1:33" ht="22.5" customHeight="1" x14ac:dyDescent="0.3">
      <c r="A150" s="373"/>
      <c r="B150" s="96" t="s">
        <v>270</v>
      </c>
      <c r="C150" s="93"/>
      <c r="D150" s="57"/>
      <c r="E150" s="96"/>
      <c r="F150" s="96"/>
      <c r="G150" s="96"/>
      <c r="H150" s="57"/>
      <c r="I150" s="96"/>
      <c r="J150" s="96"/>
      <c r="K150" s="96"/>
      <c r="L150" s="57"/>
      <c r="M150" s="96"/>
      <c r="N150" s="96"/>
      <c r="O150" s="96"/>
      <c r="P150" s="57"/>
      <c r="Q150" s="77" t="s">
        <v>31</v>
      </c>
      <c r="R150" s="77" t="s">
        <v>31</v>
      </c>
      <c r="S150" s="77" t="s">
        <v>31</v>
      </c>
      <c r="T150" s="78" t="s">
        <v>271</v>
      </c>
      <c r="U150" s="44"/>
      <c r="V150" s="327">
        <f>5000000/500</f>
        <v>10000</v>
      </c>
      <c r="W150" s="326">
        <f t="shared" si="12"/>
        <v>5000000</v>
      </c>
      <c r="X150" s="294"/>
      <c r="Y150" s="123"/>
      <c r="Z150" s="44"/>
    </row>
    <row r="151" spans="1:33" s="31" customFormat="1" x14ac:dyDescent="0.3">
      <c r="A151" s="359" t="s">
        <v>272</v>
      </c>
      <c r="B151" s="296"/>
      <c r="C151" s="297"/>
      <c r="D151" s="289"/>
      <c r="E151" s="289"/>
      <c r="F151" s="289"/>
      <c r="G151" s="289"/>
      <c r="H151" s="289"/>
      <c r="I151" s="289"/>
      <c r="J151" s="289"/>
      <c r="K151" s="289"/>
      <c r="L151" s="289"/>
      <c r="M151" s="289"/>
      <c r="N151" s="289"/>
      <c r="O151" s="289"/>
      <c r="P151" s="289"/>
      <c r="Q151" s="289"/>
      <c r="R151" s="289"/>
      <c r="S151" s="289"/>
      <c r="T151" s="43"/>
      <c r="U151" s="289"/>
      <c r="V151" s="291">
        <f>+SUM(V152:V158)</f>
        <v>100000</v>
      </c>
      <c r="W151" s="291">
        <f>+SUM(W152:W158)</f>
        <v>50000000</v>
      </c>
      <c r="X151" s="292"/>
      <c r="Y151" s="293"/>
      <c r="Z151" s="289"/>
      <c r="AA151" s="288"/>
      <c r="AB151" s="30"/>
      <c r="AC151" s="30"/>
      <c r="AD151" s="30"/>
      <c r="AE151" s="30"/>
      <c r="AF151" s="30"/>
      <c r="AG151" s="30"/>
    </row>
    <row r="152" spans="1:33" ht="34.5" x14ac:dyDescent="0.3">
      <c r="A152" s="359"/>
      <c r="B152" s="96" t="s">
        <v>273</v>
      </c>
      <c r="C152" s="93"/>
      <c r="D152" s="57"/>
      <c r="E152" s="77" t="s">
        <v>31</v>
      </c>
      <c r="F152" s="77" t="s">
        <v>31</v>
      </c>
      <c r="G152" s="77" t="s">
        <v>31</v>
      </c>
      <c r="H152" s="57"/>
      <c r="I152" s="77" t="s">
        <v>31</v>
      </c>
      <c r="J152" s="77" t="s">
        <v>31</v>
      </c>
      <c r="K152" s="77" t="s">
        <v>31</v>
      </c>
      <c r="L152" s="57"/>
      <c r="M152" s="77" t="s">
        <v>31</v>
      </c>
      <c r="N152" s="77" t="s">
        <v>31</v>
      </c>
      <c r="O152" s="77" t="s">
        <v>31</v>
      </c>
      <c r="P152" s="57"/>
      <c r="Q152" s="77" t="s">
        <v>31</v>
      </c>
      <c r="R152" s="77" t="s">
        <v>31</v>
      </c>
      <c r="S152" s="77" t="s">
        <v>31</v>
      </c>
      <c r="T152" s="99" t="s">
        <v>274</v>
      </c>
      <c r="U152" s="44"/>
      <c r="V152" s="327">
        <f>30000000/500</f>
        <v>60000</v>
      </c>
      <c r="W152" s="326">
        <f t="shared" si="12"/>
        <v>30000000</v>
      </c>
      <c r="X152" s="294"/>
      <c r="Y152" s="123"/>
      <c r="Z152" s="44"/>
    </row>
    <row r="153" spans="1:33" ht="23" x14ac:dyDescent="0.3">
      <c r="A153" s="359"/>
      <c r="B153" s="96" t="s">
        <v>275</v>
      </c>
      <c r="C153" s="93"/>
      <c r="D153" s="57"/>
      <c r="E153" s="96"/>
      <c r="F153" s="96"/>
      <c r="G153" s="96"/>
      <c r="H153" s="57"/>
      <c r="I153" s="96"/>
      <c r="J153" s="96"/>
      <c r="K153" s="96"/>
      <c r="L153" s="57"/>
      <c r="M153" s="77" t="s">
        <v>31</v>
      </c>
      <c r="N153" s="77" t="s">
        <v>31</v>
      </c>
      <c r="O153" s="77" t="s">
        <v>31</v>
      </c>
      <c r="P153" s="57"/>
      <c r="Q153" s="96"/>
      <c r="R153" s="96"/>
      <c r="S153" s="96"/>
      <c r="T153" s="99" t="s">
        <v>276</v>
      </c>
      <c r="U153" s="44"/>
      <c r="V153" s="327">
        <f>5000000/500</f>
        <v>10000</v>
      </c>
      <c r="W153" s="326">
        <f t="shared" si="12"/>
        <v>5000000</v>
      </c>
      <c r="X153" s="294"/>
      <c r="Y153" s="123"/>
      <c r="Z153" s="44"/>
    </row>
    <row r="154" spans="1:33" ht="23" x14ac:dyDescent="0.3">
      <c r="A154" s="359"/>
      <c r="B154" s="96" t="s">
        <v>277</v>
      </c>
      <c r="C154" s="93"/>
      <c r="D154" s="57"/>
      <c r="E154" s="96"/>
      <c r="F154" s="96"/>
      <c r="G154" s="96"/>
      <c r="H154" s="57"/>
      <c r="I154" s="77" t="s">
        <v>31</v>
      </c>
      <c r="J154" s="77" t="s">
        <v>31</v>
      </c>
      <c r="K154" s="77" t="s">
        <v>31</v>
      </c>
      <c r="L154" s="57"/>
      <c r="M154" s="96"/>
      <c r="N154" s="96"/>
      <c r="O154" s="96"/>
      <c r="P154" s="57"/>
      <c r="Q154" s="96"/>
      <c r="R154" s="96"/>
      <c r="S154" s="96"/>
      <c r="T154" s="99" t="s">
        <v>278</v>
      </c>
      <c r="U154" s="44"/>
      <c r="V154" s="327">
        <f>2000000/500</f>
        <v>4000</v>
      </c>
      <c r="W154" s="326">
        <f t="shared" si="12"/>
        <v>2000000</v>
      </c>
      <c r="X154" s="294"/>
      <c r="Y154" s="123"/>
      <c r="Z154" s="44"/>
    </row>
    <row r="155" spans="1:33" x14ac:dyDescent="0.3">
      <c r="A155" s="359"/>
      <c r="B155" s="96" t="s">
        <v>279</v>
      </c>
      <c r="C155" s="93"/>
      <c r="D155" s="57"/>
      <c r="E155" s="96"/>
      <c r="F155" s="96"/>
      <c r="G155" s="96"/>
      <c r="H155" s="57"/>
      <c r="I155" s="96"/>
      <c r="J155" s="96"/>
      <c r="K155" s="96"/>
      <c r="L155" s="57"/>
      <c r="M155" s="77" t="s">
        <v>31</v>
      </c>
      <c r="N155" s="77" t="s">
        <v>31</v>
      </c>
      <c r="O155" s="77" t="s">
        <v>31</v>
      </c>
      <c r="P155" s="57"/>
      <c r="Q155" s="77" t="s">
        <v>31</v>
      </c>
      <c r="R155" s="77" t="s">
        <v>31</v>
      </c>
      <c r="S155" s="77" t="s">
        <v>31</v>
      </c>
      <c r="T155" s="99" t="s">
        <v>280</v>
      </c>
      <c r="U155" s="44"/>
      <c r="V155" s="327">
        <v>0</v>
      </c>
      <c r="W155" s="326">
        <f t="shared" si="12"/>
        <v>0</v>
      </c>
      <c r="X155" s="294"/>
      <c r="Y155" s="123"/>
      <c r="Z155" s="44"/>
    </row>
    <row r="156" spans="1:33" ht="23" x14ac:dyDescent="0.3">
      <c r="A156" s="359"/>
      <c r="B156" s="96" t="s">
        <v>281</v>
      </c>
      <c r="C156" s="93"/>
      <c r="D156" s="57"/>
      <c r="E156" s="96"/>
      <c r="F156" s="96"/>
      <c r="G156" s="96"/>
      <c r="H156" s="57"/>
      <c r="I156" s="96"/>
      <c r="J156" s="96"/>
      <c r="K156" s="96"/>
      <c r="L156" s="57"/>
      <c r="M156" s="77" t="s">
        <v>31</v>
      </c>
      <c r="N156" s="77" t="s">
        <v>31</v>
      </c>
      <c r="O156" s="77" t="s">
        <v>31</v>
      </c>
      <c r="P156" s="57"/>
      <c r="Q156" s="77" t="s">
        <v>31</v>
      </c>
      <c r="R156" s="77" t="s">
        <v>31</v>
      </c>
      <c r="S156" s="77" t="s">
        <v>31</v>
      </c>
      <c r="T156" s="99" t="s">
        <v>282</v>
      </c>
      <c r="U156" s="44"/>
      <c r="V156" s="327">
        <f>1000000/500</f>
        <v>2000</v>
      </c>
      <c r="W156" s="326">
        <f t="shared" si="12"/>
        <v>1000000</v>
      </c>
      <c r="X156" s="294"/>
      <c r="Y156" s="123"/>
      <c r="Z156" s="44"/>
    </row>
    <row r="157" spans="1:33" ht="23" x14ac:dyDescent="0.3">
      <c r="A157" s="359"/>
      <c r="B157" s="96" t="s">
        <v>283</v>
      </c>
      <c r="C157" s="93"/>
      <c r="D157" s="57"/>
      <c r="E157" s="96"/>
      <c r="F157" s="96"/>
      <c r="G157" s="96"/>
      <c r="H157" s="57"/>
      <c r="I157" s="96"/>
      <c r="J157" s="96"/>
      <c r="K157" s="96"/>
      <c r="L157" s="57"/>
      <c r="M157" s="96"/>
      <c r="N157" s="96"/>
      <c r="O157" s="96"/>
      <c r="P157" s="57"/>
      <c r="Q157" s="77" t="s">
        <v>31</v>
      </c>
      <c r="R157" s="77" t="s">
        <v>31</v>
      </c>
      <c r="S157" s="77" t="s">
        <v>31</v>
      </c>
      <c r="T157" s="78" t="s">
        <v>284</v>
      </c>
      <c r="U157" s="44"/>
      <c r="V157" s="327">
        <f>5000000/500</f>
        <v>10000</v>
      </c>
      <c r="W157" s="326">
        <f t="shared" si="12"/>
        <v>5000000</v>
      </c>
      <c r="X157" s="294"/>
      <c r="Y157" s="123"/>
      <c r="Z157" s="44"/>
    </row>
    <row r="158" spans="1:33" ht="23" x14ac:dyDescent="0.3">
      <c r="A158" s="359"/>
      <c r="B158" s="96" t="s">
        <v>285</v>
      </c>
      <c r="C158" s="93"/>
      <c r="D158" s="57"/>
      <c r="E158" s="96"/>
      <c r="F158" s="96"/>
      <c r="G158" s="96"/>
      <c r="H158" s="57"/>
      <c r="I158" s="96"/>
      <c r="J158" s="96"/>
      <c r="K158" s="96"/>
      <c r="L158" s="57"/>
      <c r="M158" s="96"/>
      <c r="N158" s="96"/>
      <c r="O158" s="96"/>
      <c r="P158" s="57"/>
      <c r="Q158" s="77" t="s">
        <v>31</v>
      </c>
      <c r="R158" s="77" t="s">
        <v>31</v>
      </c>
      <c r="S158" s="77" t="s">
        <v>31</v>
      </c>
      <c r="T158" s="99" t="s">
        <v>286</v>
      </c>
      <c r="U158" s="44"/>
      <c r="V158" s="327">
        <f>7000000/500</f>
        <v>14000</v>
      </c>
      <c r="W158" s="326">
        <f t="shared" si="12"/>
        <v>7000000</v>
      </c>
      <c r="X158" s="294"/>
      <c r="Y158" s="123"/>
      <c r="Z158" s="44"/>
    </row>
    <row r="159" spans="1:33" s="31" customFormat="1" ht="15.4" customHeight="1" x14ac:dyDescent="0.3">
      <c r="A159" s="359" t="s">
        <v>287</v>
      </c>
      <c r="B159" s="289"/>
      <c r="C159" s="290"/>
      <c r="D159" s="57"/>
      <c r="E159" s="289"/>
      <c r="F159" s="289"/>
      <c r="G159" s="289"/>
      <c r="H159" s="57"/>
      <c r="I159" s="289"/>
      <c r="J159" s="289"/>
      <c r="K159" s="289"/>
      <c r="L159" s="57"/>
      <c r="M159" s="289"/>
      <c r="N159" s="289"/>
      <c r="O159" s="289"/>
      <c r="P159" s="57"/>
      <c r="Q159" s="289"/>
      <c r="R159" s="289"/>
      <c r="S159" s="289"/>
      <c r="T159" s="43"/>
      <c r="U159" s="289"/>
      <c r="V159" s="291">
        <f>+SUM(V160:V164)</f>
        <v>100000</v>
      </c>
      <c r="W159" s="291">
        <f>+SUM(W160:W164)</f>
        <v>50000000</v>
      </c>
      <c r="X159" s="292"/>
      <c r="Y159" s="293"/>
      <c r="Z159" s="289"/>
      <c r="AA159" s="288"/>
      <c r="AB159" s="30"/>
      <c r="AC159" s="30"/>
      <c r="AD159" s="30"/>
      <c r="AE159" s="30"/>
      <c r="AF159" s="30"/>
      <c r="AG159" s="30"/>
    </row>
    <row r="160" spans="1:33" ht="23" x14ac:dyDescent="0.3">
      <c r="A160" s="359"/>
      <c r="B160" s="96" t="s">
        <v>288</v>
      </c>
      <c r="C160" s="93"/>
      <c r="D160" s="57"/>
      <c r="E160" s="77" t="s">
        <v>31</v>
      </c>
      <c r="F160" s="77" t="s">
        <v>31</v>
      </c>
      <c r="G160" s="77" t="s">
        <v>31</v>
      </c>
      <c r="H160" s="57"/>
      <c r="I160" s="77" t="s">
        <v>31</v>
      </c>
      <c r="J160" s="77" t="s">
        <v>31</v>
      </c>
      <c r="K160" s="77" t="s">
        <v>31</v>
      </c>
      <c r="L160" s="57"/>
      <c r="M160" s="96"/>
      <c r="N160" s="96"/>
      <c r="O160" s="96"/>
      <c r="P160" s="57"/>
      <c r="Q160" s="96"/>
      <c r="R160" s="96"/>
      <c r="S160" s="96"/>
      <c r="T160" s="99" t="s">
        <v>289</v>
      </c>
      <c r="U160" s="44"/>
      <c r="V160" s="327">
        <f>2000000/500</f>
        <v>4000</v>
      </c>
      <c r="W160" s="326">
        <f t="shared" si="12"/>
        <v>2000000</v>
      </c>
      <c r="X160" s="294"/>
      <c r="Y160" s="123"/>
      <c r="Z160" s="44"/>
    </row>
    <row r="161" spans="1:33" ht="23" x14ac:dyDescent="0.3">
      <c r="A161" s="359"/>
      <c r="B161" s="96" t="s">
        <v>290</v>
      </c>
      <c r="C161" s="93"/>
      <c r="D161" s="57"/>
      <c r="E161" s="77" t="s">
        <v>31</v>
      </c>
      <c r="F161" s="77" t="s">
        <v>31</v>
      </c>
      <c r="G161" s="77" t="s">
        <v>31</v>
      </c>
      <c r="H161" s="57"/>
      <c r="I161" s="96"/>
      <c r="J161" s="96"/>
      <c r="K161" s="96"/>
      <c r="L161" s="57"/>
      <c r="M161" s="96"/>
      <c r="N161" s="96"/>
      <c r="O161" s="96"/>
      <c r="P161" s="57"/>
      <c r="Q161" s="96"/>
      <c r="R161" s="96"/>
      <c r="S161" s="96"/>
      <c r="T161" s="99" t="s">
        <v>291</v>
      </c>
      <c r="U161" s="44"/>
      <c r="V161" s="327">
        <f>35000000/500</f>
        <v>70000</v>
      </c>
      <c r="W161" s="326">
        <f t="shared" si="12"/>
        <v>35000000</v>
      </c>
      <c r="X161" s="294"/>
      <c r="Y161" s="123"/>
      <c r="Z161" s="44"/>
    </row>
    <row r="162" spans="1:33" ht="23" x14ac:dyDescent="0.3">
      <c r="A162" s="359"/>
      <c r="B162" s="96" t="s">
        <v>292</v>
      </c>
      <c r="C162" s="93"/>
      <c r="D162" s="57"/>
      <c r="E162" s="96"/>
      <c r="F162" s="96"/>
      <c r="G162" s="96"/>
      <c r="H162" s="57"/>
      <c r="I162" s="77" t="s">
        <v>31</v>
      </c>
      <c r="J162" s="77" t="s">
        <v>31</v>
      </c>
      <c r="K162" s="77" t="s">
        <v>31</v>
      </c>
      <c r="L162" s="57"/>
      <c r="M162" s="77" t="s">
        <v>31</v>
      </c>
      <c r="N162" s="77" t="s">
        <v>31</v>
      </c>
      <c r="O162" s="77" t="s">
        <v>31</v>
      </c>
      <c r="P162" s="57"/>
      <c r="Q162" s="96"/>
      <c r="R162" s="96"/>
      <c r="S162" s="96"/>
      <c r="T162" s="99" t="s">
        <v>293</v>
      </c>
      <c r="U162" s="44"/>
      <c r="V162" s="327">
        <f>1500000/500</f>
        <v>3000</v>
      </c>
      <c r="W162" s="326">
        <f t="shared" si="12"/>
        <v>1500000</v>
      </c>
      <c r="X162" s="294"/>
      <c r="Y162" s="123"/>
      <c r="Z162" s="44"/>
    </row>
    <row r="163" spans="1:33" ht="23" x14ac:dyDescent="0.3">
      <c r="A163" s="359"/>
      <c r="B163" s="96" t="s">
        <v>294</v>
      </c>
      <c r="C163" s="93"/>
      <c r="D163" s="57"/>
      <c r="E163" s="96"/>
      <c r="F163" s="96"/>
      <c r="G163" s="96"/>
      <c r="H163" s="57"/>
      <c r="I163" s="96"/>
      <c r="J163" s="96"/>
      <c r="K163" s="96"/>
      <c r="L163" s="57"/>
      <c r="M163" s="77" t="s">
        <v>31</v>
      </c>
      <c r="N163" s="77" t="s">
        <v>31</v>
      </c>
      <c r="O163" s="77" t="s">
        <v>31</v>
      </c>
      <c r="P163" s="57"/>
      <c r="Q163" s="77" t="s">
        <v>31</v>
      </c>
      <c r="R163" s="77" t="s">
        <v>31</v>
      </c>
      <c r="S163" s="77" t="s">
        <v>31</v>
      </c>
      <c r="T163" s="99" t="s">
        <v>295</v>
      </c>
      <c r="U163" s="44"/>
      <c r="V163" s="327">
        <f>4000000/500</f>
        <v>8000</v>
      </c>
      <c r="W163" s="326">
        <f t="shared" si="12"/>
        <v>4000000</v>
      </c>
      <c r="X163" s="294"/>
      <c r="Y163" s="123"/>
      <c r="Z163" s="44"/>
    </row>
    <row r="164" spans="1:33" ht="34.5" x14ac:dyDescent="0.3">
      <c r="A164" s="359"/>
      <c r="B164" s="96" t="s">
        <v>296</v>
      </c>
      <c r="C164" s="93"/>
      <c r="D164" s="57"/>
      <c r="E164" s="96"/>
      <c r="F164" s="96"/>
      <c r="G164" s="96"/>
      <c r="H164" s="57"/>
      <c r="I164" s="96"/>
      <c r="J164" s="96"/>
      <c r="K164" s="96"/>
      <c r="L164" s="57"/>
      <c r="M164" s="77" t="s">
        <v>31</v>
      </c>
      <c r="N164" s="77" t="s">
        <v>31</v>
      </c>
      <c r="O164" s="77" t="s">
        <v>31</v>
      </c>
      <c r="P164" s="57"/>
      <c r="Q164" s="77" t="s">
        <v>31</v>
      </c>
      <c r="R164" s="77" t="s">
        <v>31</v>
      </c>
      <c r="S164" s="77" t="s">
        <v>31</v>
      </c>
      <c r="T164" s="99" t="s">
        <v>297</v>
      </c>
      <c r="U164" s="44"/>
      <c r="V164" s="327">
        <f>7500000/500</f>
        <v>15000</v>
      </c>
      <c r="W164" s="326">
        <f t="shared" si="12"/>
        <v>7500000</v>
      </c>
      <c r="X164" s="294"/>
      <c r="Y164" s="123"/>
      <c r="Z164" s="44"/>
    </row>
    <row r="165" spans="1:33" s="31" customFormat="1" ht="13.9" customHeight="1" x14ac:dyDescent="0.3">
      <c r="A165" s="352" t="s">
        <v>298</v>
      </c>
      <c r="B165" s="352"/>
      <c r="C165" s="298"/>
      <c r="D165" s="283"/>
      <c r="E165" s="283"/>
      <c r="F165" s="283"/>
      <c r="G165" s="284"/>
      <c r="H165" s="284"/>
      <c r="I165" s="284"/>
      <c r="J165" s="284"/>
      <c r="K165" s="284"/>
      <c r="L165" s="284"/>
      <c r="M165" s="284"/>
      <c r="N165" s="284"/>
      <c r="O165" s="284"/>
      <c r="P165" s="284"/>
      <c r="Q165" s="284"/>
      <c r="R165" s="284"/>
      <c r="S165" s="284"/>
      <c r="T165" s="285"/>
      <c r="U165" s="299"/>
      <c r="V165" s="286">
        <f>+V166+V171+V179</f>
        <v>300000</v>
      </c>
      <c r="W165" s="287">
        <f t="shared" si="12"/>
        <v>150000000</v>
      </c>
      <c r="X165" s="284"/>
      <c r="Y165" s="284"/>
      <c r="Z165" s="285"/>
      <c r="AA165" s="288"/>
      <c r="AB165" s="30"/>
      <c r="AC165" s="30"/>
      <c r="AD165" s="30"/>
      <c r="AE165" s="30"/>
      <c r="AF165" s="30"/>
      <c r="AG165" s="30"/>
    </row>
    <row r="166" spans="1:33" s="31" customFormat="1" ht="15.4" customHeight="1" x14ac:dyDescent="0.3">
      <c r="A166" s="359" t="s">
        <v>299</v>
      </c>
      <c r="B166" s="289"/>
      <c r="C166" s="290"/>
      <c r="D166" s="57"/>
      <c r="E166" s="289"/>
      <c r="F166" s="289"/>
      <c r="G166" s="289"/>
      <c r="H166" s="57"/>
      <c r="I166" s="289"/>
      <c r="J166" s="289"/>
      <c r="K166" s="289"/>
      <c r="L166" s="57"/>
      <c r="M166" s="289"/>
      <c r="N166" s="289"/>
      <c r="O166" s="289"/>
      <c r="P166" s="57"/>
      <c r="Q166" s="289"/>
      <c r="R166" s="289"/>
      <c r="S166" s="289"/>
      <c r="T166" s="43"/>
      <c r="U166" s="289"/>
      <c r="V166" s="291">
        <f>+SUM(V167:V170)</f>
        <v>100000</v>
      </c>
      <c r="W166" s="291">
        <f>+SUM(W167:W170)</f>
        <v>50000000</v>
      </c>
      <c r="X166" s="292"/>
      <c r="Y166" s="293"/>
      <c r="Z166" s="289"/>
      <c r="AA166" s="288"/>
      <c r="AB166" s="30"/>
      <c r="AC166" s="30"/>
      <c r="AD166" s="30"/>
      <c r="AE166" s="30"/>
      <c r="AF166" s="30"/>
      <c r="AG166" s="30"/>
    </row>
    <row r="167" spans="1:33" ht="57.5" x14ac:dyDescent="0.3">
      <c r="A167" s="359"/>
      <c r="B167" s="96" t="s">
        <v>300</v>
      </c>
      <c r="C167" s="93"/>
      <c r="D167" s="57"/>
      <c r="E167" s="96"/>
      <c r="F167" s="96"/>
      <c r="G167" s="96"/>
      <c r="H167" s="57"/>
      <c r="I167" s="96"/>
      <c r="J167" s="96"/>
      <c r="K167" s="96"/>
      <c r="L167" s="57"/>
      <c r="M167" s="96"/>
      <c r="N167" s="96"/>
      <c r="O167" s="96"/>
      <c r="P167" s="57"/>
      <c r="Q167" s="77" t="s">
        <v>31</v>
      </c>
      <c r="R167" s="77" t="s">
        <v>31</v>
      </c>
      <c r="S167" s="77" t="s">
        <v>31</v>
      </c>
      <c r="T167" s="99" t="s">
        <v>301</v>
      </c>
      <c r="U167" s="44"/>
      <c r="V167" s="327">
        <f>2000000/500</f>
        <v>4000</v>
      </c>
      <c r="W167" s="326">
        <f t="shared" si="12"/>
        <v>2000000</v>
      </c>
      <c r="X167" s="294"/>
      <c r="Y167" s="123"/>
      <c r="Z167" s="44"/>
    </row>
    <row r="168" spans="1:33" ht="57.5" x14ac:dyDescent="0.3">
      <c r="A168" s="359"/>
      <c r="B168" s="96" t="s">
        <v>302</v>
      </c>
      <c r="C168" s="93"/>
      <c r="D168" s="57"/>
      <c r="E168" s="96"/>
      <c r="F168" s="96"/>
      <c r="G168" s="96"/>
      <c r="H168" s="57"/>
      <c r="I168" s="96"/>
      <c r="J168" s="96"/>
      <c r="K168" s="96"/>
      <c r="L168" s="57"/>
      <c r="M168" s="96"/>
      <c r="N168" s="96"/>
      <c r="O168" s="96"/>
      <c r="P168" s="57"/>
      <c r="Q168" s="77" t="s">
        <v>31</v>
      </c>
      <c r="R168" s="77" t="s">
        <v>31</v>
      </c>
      <c r="S168" s="77" t="s">
        <v>31</v>
      </c>
      <c r="T168" s="99" t="s">
        <v>303</v>
      </c>
      <c r="U168" s="44"/>
      <c r="V168" s="327">
        <f>2000000/500</f>
        <v>4000</v>
      </c>
      <c r="W168" s="326">
        <f t="shared" si="12"/>
        <v>2000000</v>
      </c>
      <c r="X168" s="294"/>
      <c r="Y168" s="123"/>
      <c r="Z168" s="44"/>
    </row>
    <row r="169" spans="1:33" ht="45.5" customHeight="1" x14ac:dyDescent="0.3">
      <c r="A169" s="359"/>
      <c r="B169" s="96" t="s">
        <v>304</v>
      </c>
      <c r="C169" s="93"/>
      <c r="D169" s="57"/>
      <c r="E169" s="96"/>
      <c r="F169" s="96"/>
      <c r="G169" s="96"/>
      <c r="H169" s="57"/>
      <c r="I169" s="96"/>
      <c r="J169" s="96"/>
      <c r="K169" s="96"/>
      <c r="L169" s="57"/>
      <c r="M169" s="96"/>
      <c r="N169" s="96"/>
      <c r="O169" s="96"/>
      <c r="P169" s="57"/>
      <c r="Q169" s="77" t="s">
        <v>31</v>
      </c>
      <c r="R169" s="77" t="s">
        <v>31</v>
      </c>
      <c r="S169" s="77" t="s">
        <v>31</v>
      </c>
      <c r="T169" s="99" t="s">
        <v>305</v>
      </c>
      <c r="U169" s="44"/>
      <c r="V169" s="327">
        <f>6000000/500</f>
        <v>12000</v>
      </c>
      <c r="W169" s="326">
        <f t="shared" si="12"/>
        <v>6000000</v>
      </c>
      <c r="X169" s="294"/>
      <c r="Y169" s="123"/>
      <c r="Z169" s="44"/>
    </row>
    <row r="170" spans="1:33" ht="48.5" customHeight="1" x14ac:dyDescent="0.3">
      <c r="A170" s="359"/>
      <c r="B170" s="96" t="s">
        <v>306</v>
      </c>
      <c r="C170" s="93"/>
      <c r="D170" s="57"/>
      <c r="E170" s="77" t="s">
        <v>31</v>
      </c>
      <c r="F170" s="77" t="s">
        <v>31</v>
      </c>
      <c r="G170" s="77" t="s">
        <v>31</v>
      </c>
      <c r="H170" s="57"/>
      <c r="I170" s="96"/>
      <c r="J170" s="96"/>
      <c r="K170" s="96"/>
      <c r="L170" s="57"/>
      <c r="M170" s="96"/>
      <c r="N170" s="96"/>
      <c r="O170" s="96"/>
      <c r="P170" s="57"/>
      <c r="Q170" s="96"/>
      <c r="R170" s="96"/>
      <c r="S170" s="96"/>
      <c r="T170" s="99" t="s">
        <v>307</v>
      </c>
      <c r="U170" s="44"/>
      <c r="V170" s="327">
        <f>40000000/500</f>
        <v>80000</v>
      </c>
      <c r="W170" s="326">
        <f t="shared" si="12"/>
        <v>40000000</v>
      </c>
      <c r="X170" s="294"/>
      <c r="Y170" s="123"/>
      <c r="Z170" s="44"/>
    </row>
    <row r="171" spans="1:33" s="42" customFormat="1" x14ac:dyDescent="0.25">
      <c r="A171" s="350" t="s">
        <v>308</v>
      </c>
      <c r="B171" s="296"/>
      <c r="C171" s="297"/>
      <c r="D171" s="57"/>
      <c r="E171" s="296"/>
      <c r="F171" s="296"/>
      <c r="G171" s="296"/>
      <c r="H171" s="57"/>
      <c r="I171" s="296"/>
      <c r="J171" s="296"/>
      <c r="K171" s="296"/>
      <c r="L171" s="57"/>
      <c r="M171" s="296"/>
      <c r="N171" s="296"/>
      <c r="O171" s="296"/>
      <c r="P171" s="57"/>
      <c r="Q171" s="296"/>
      <c r="R171" s="296"/>
      <c r="S171" s="296"/>
      <c r="T171" s="300"/>
      <c r="U171" s="296"/>
      <c r="V171" s="291">
        <f>+SUM(V172:V178)</f>
        <v>100000</v>
      </c>
      <c r="W171" s="301">
        <f t="shared" si="12"/>
        <v>50000000</v>
      </c>
      <c r="X171" s="302"/>
      <c r="Y171" s="303"/>
      <c r="Z171" s="296"/>
      <c r="AA171" s="304"/>
      <c r="AB171" s="41"/>
      <c r="AC171" s="41"/>
      <c r="AD171" s="41"/>
      <c r="AE171" s="41"/>
      <c r="AF171" s="41"/>
      <c r="AG171" s="41"/>
    </row>
    <row r="172" spans="1:33" x14ac:dyDescent="0.3">
      <c r="A172" s="350"/>
      <c r="B172" s="96" t="s">
        <v>309</v>
      </c>
      <c r="C172" s="93"/>
      <c r="D172" s="57"/>
      <c r="E172" s="96"/>
      <c r="F172" s="96"/>
      <c r="G172" s="96"/>
      <c r="H172" s="57"/>
      <c r="I172" s="77" t="s">
        <v>31</v>
      </c>
      <c r="J172" s="77" t="s">
        <v>31</v>
      </c>
      <c r="K172" s="77" t="s">
        <v>31</v>
      </c>
      <c r="L172" s="57"/>
      <c r="M172" s="77" t="s">
        <v>31</v>
      </c>
      <c r="N172" s="77" t="s">
        <v>31</v>
      </c>
      <c r="O172" s="77" t="s">
        <v>31</v>
      </c>
      <c r="P172" s="57"/>
      <c r="Q172" s="77" t="s">
        <v>31</v>
      </c>
      <c r="R172" s="77" t="s">
        <v>31</v>
      </c>
      <c r="S172" s="77" t="s">
        <v>31</v>
      </c>
      <c r="T172" s="99" t="s">
        <v>310</v>
      </c>
      <c r="U172" s="44"/>
      <c r="V172" s="327">
        <f>10000000/500</f>
        <v>20000</v>
      </c>
      <c r="W172" s="326">
        <f t="shared" si="12"/>
        <v>10000000</v>
      </c>
      <c r="X172" s="294"/>
      <c r="Y172" s="123"/>
      <c r="Z172" s="44"/>
    </row>
    <row r="173" spans="1:33" ht="41" customHeight="1" x14ac:dyDescent="0.3">
      <c r="A173" s="350"/>
      <c r="B173" s="96" t="s">
        <v>311</v>
      </c>
      <c r="C173" s="93"/>
      <c r="D173" s="57"/>
      <c r="E173" s="96"/>
      <c r="F173" s="96"/>
      <c r="G173" s="96"/>
      <c r="H173" s="57"/>
      <c r="I173" s="96"/>
      <c r="J173" s="96"/>
      <c r="K173" s="96"/>
      <c r="L173" s="57"/>
      <c r="M173" s="77" t="s">
        <v>31</v>
      </c>
      <c r="N173" s="77" t="s">
        <v>31</v>
      </c>
      <c r="O173" s="77" t="s">
        <v>31</v>
      </c>
      <c r="P173" s="57"/>
      <c r="Q173" s="77" t="s">
        <v>31</v>
      </c>
      <c r="R173" s="77" t="s">
        <v>31</v>
      </c>
      <c r="S173" s="77" t="s">
        <v>31</v>
      </c>
      <c r="T173" s="99" t="s">
        <v>312</v>
      </c>
      <c r="U173" s="44"/>
      <c r="V173" s="327">
        <f>6000000/500</f>
        <v>12000</v>
      </c>
      <c r="W173" s="326">
        <f t="shared" si="12"/>
        <v>6000000</v>
      </c>
      <c r="X173" s="294"/>
      <c r="Y173" s="123"/>
      <c r="Z173" s="44"/>
    </row>
    <row r="174" spans="1:33" ht="34.5" x14ac:dyDescent="0.3">
      <c r="A174" s="350"/>
      <c r="B174" s="96" t="s">
        <v>313</v>
      </c>
      <c r="C174" s="93"/>
      <c r="D174" s="57"/>
      <c r="E174" s="96"/>
      <c r="F174" s="96"/>
      <c r="G174" s="96"/>
      <c r="H174" s="57"/>
      <c r="I174" s="96"/>
      <c r="J174" s="96"/>
      <c r="K174" s="96"/>
      <c r="L174" s="57"/>
      <c r="M174" s="96"/>
      <c r="N174" s="96"/>
      <c r="O174" s="96"/>
      <c r="P174" s="57"/>
      <c r="Q174" s="77" t="s">
        <v>31</v>
      </c>
      <c r="R174" s="77" t="s">
        <v>31</v>
      </c>
      <c r="S174" s="77" t="s">
        <v>31</v>
      </c>
      <c r="T174" s="99" t="s">
        <v>314</v>
      </c>
      <c r="U174" s="44"/>
      <c r="V174" s="327">
        <f>5000000/500</f>
        <v>10000</v>
      </c>
      <c r="W174" s="326">
        <f t="shared" si="12"/>
        <v>5000000</v>
      </c>
      <c r="X174" s="294"/>
      <c r="Y174" s="123"/>
      <c r="Z174" s="44"/>
    </row>
    <row r="175" spans="1:33" ht="29.5" customHeight="1" x14ac:dyDescent="0.3">
      <c r="A175" s="350"/>
      <c r="B175" s="96" t="s">
        <v>315</v>
      </c>
      <c r="C175" s="93"/>
      <c r="D175" s="57"/>
      <c r="E175" s="96"/>
      <c r="F175" s="96"/>
      <c r="G175" s="96"/>
      <c r="H175" s="57"/>
      <c r="I175" s="96"/>
      <c r="J175" s="96"/>
      <c r="K175" s="96"/>
      <c r="L175" s="57"/>
      <c r="M175" s="96"/>
      <c r="N175" s="96"/>
      <c r="O175" s="96"/>
      <c r="P175" s="57"/>
      <c r="Q175" s="77" t="s">
        <v>31</v>
      </c>
      <c r="R175" s="77" t="s">
        <v>31</v>
      </c>
      <c r="S175" s="77" t="s">
        <v>31</v>
      </c>
      <c r="T175" s="99" t="s">
        <v>316</v>
      </c>
      <c r="U175" s="44"/>
      <c r="V175" s="327">
        <f>6000000/500</f>
        <v>12000</v>
      </c>
      <c r="W175" s="326">
        <f t="shared" si="12"/>
        <v>6000000</v>
      </c>
      <c r="X175" s="294"/>
      <c r="Y175" s="123"/>
      <c r="Z175" s="44"/>
    </row>
    <row r="176" spans="1:33" ht="27" customHeight="1" x14ac:dyDescent="0.3">
      <c r="A176" s="350"/>
      <c r="B176" s="96" t="s">
        <v>317</v>
      </c>
      <c r="C176" s="93"/>
      <c r="D176" s="57"/>
      <c r="E176" s="96"/>
      <c r="F176" s="96"/>
      <c r="G176" s="96"/>
      <c r="H176" s="57"/>
      <c r="I176" s="96"/>
      <c r="J176" s="96"/>
      <c r="K176" s="96"/>
      <c r="L176" s="57"/>
      <c r="M176" s="96"/>
      <c r="N176" s="96"/>
      <c r="O176" s="96"/>
      <c r="P176" s="57"/>
      <c r="Q176" s="77" t="s">
        <v>31</v>
      </c>
      <c r="R176" s="77" t="s">
        <v>31</v>
      </c>
      <c r="S176" s="77" t="s">
        <v>31</v>
      </c>
      <c r="T176" s="99" t="s">
        <v>318</v>
      </c>
      <c r="U176" s="44"/>
      <c r="V176" s="327">
        <f>10000000/500</f>
        <v>20000</v>
      </c>
      <c r="W176" s="326">
        <f t="shared" si="12"/>
        <v>10000000</v>
      </c>
      <c r="X176" s="294"/>
      <c r="Y176" s="123"/>
      <c r="Z176" s="44"/>
    </row>
    <row r="177" spans="1:33" ht="30.5" customHeight="1" x14ac:dyDescent="0.3">
      <c r="A177" s="350"/>
      <c r="B177" s="96" t="s">
        <v>319</v>
      </c>
      <c r="C177" s="93"/>
      <c r="D177" s="57"/>
      <c r="E177" s="96"/>
      <c r="F177" s="96"/>
      <c r="G177" s="96"/>
      <c r="H177" s="57"/>
      <c r="I177" s="96"/>
      <c r="J177" s="96"/>
      <c r="K177" s="96"/>
      <c r="L177" s="57"/>
      <c r="M177" s="96"/>
      <c r="N177" s="96"/>
      <c r="O177" s="96"/>
      <c r="P177" s="57"/>
      <c r="Q177" s="77" t="s">
        <v>31</v>
      </c>
      <c r="R177" s="77" t="s">
        <v>31</v>
      </c>
      <c r="S177" s="77" t="s">
        <v>31</v>
      </c>
      <c r="T177" s="99" t="s">
        <v>320</v>
      </c>
      <c r="U177" s="44"/>
      <c r="V177" s="327">
        <f>8000000/500</f>
        <v>16000</v>
      </c>
      <c r="W177" s="326">
        <f t="shared" si="12"/>
        <v>8000000</v>
      </c>
      <c r="X177" s="294"/>
      <c r="Y177" s="123"/>
      <c r="Z177" s="44"/>
    </row>
    <row r="178" spans="1:33" ht="25" customHeight="1" x14ac:dyDescent="0.3">
      <c r="A178" s="350"/>
      <c r="B178" s="96" t="s">
        <v>321</v>
      </c>
      <c r="C178" s="93"/>
      <c r="D178" s="57"/>
      <c r="E178" s="96"/>
      <c r="F178" s="96"/>
      <c r="G178" s="96"/>
      <c r="H178" s="57"/>
      <c r="I178" s="96"/>
      <c r="J178" s="96"/>
      <c r="K178" s="96"/>
      <c r="L178" s="57"/>
      <c r="M178" s="96"/>
      <c r="N178" s="96"/>
      <c r="O178" s="96"/>
      <c r="P178" s="57"/>
      <c r="Q178" s="77" t="s">
        <v>31</v>
      </c>
      <c r="R178" s="77" t="s">
        <v>31</v>
      </c>
      <c r="S178" s="77" t="s">
        <v>31</v>
      </c>
      <c r="T178" s="99" t="s">
        <v>322</v>
      </c>
      <c r="U178" s="44"/>
      <c r="V178" s="327">
        <f>5000000/500</f>
        <v>10000</v>
      </c>
      <c r="W178" s="326">
        <f t="shared" si="12"/>
        <v>5000000</v>
      </c>
      <c r="X178" s="294"/>
      <c r="Y178" s="123"/>
      <c r="Z178" s="44"/>
    </row>
    <row r="179" spans="1:33" s="31" customFormat="1" ht="15.4" customHeight="1" x14ac:dyDescent="0.3">
      <c r="A179" s="359" t="s">
        <v>323</v>
      </c>
      <c r="B179" s="289"/>
      <c r="C179" s="290"/>
      <c r="D179" s="289"/>
      <c r="E179" s="289"/>
      <c r="F179" s="289"/>
      <c r="G179" s="289"/>
      <c r="H179" s="289"/>
      <c r="I179" s="289"/>
      <c r="J179" s="289"/>
      <c r="K179" s="289"/>
      <c r="L179" s="289"/>
      <c r="M179" s="289"/>
      <c r="N179" s="289"/>
      <c r="O179" s="289"/>
      <c r="P179" s="289"/>
      <c r="Q179" s="289"/>
      <c r="R179" s="289"/>
      <c r="S179" s="289"/>
      <c r="T179" s="43"/>
      <c r="U179" s="289"/>
      <c r="V179" s="291">
        <f>+SUM(V180:V182)</f>
        <v>100000</v>
      </c>
      <c r="W179" s="291">
        <f>+SUM(W180:W182)</f>
        <v>50000000</v>
      </c>
      <c r="X179" s="292"/>
      <c r="Y179" s="293"/>
      <c r="Z179" s="289"/>
      <c r="AA179" s="288"/>
      <c r="AB179" s="30"/>
      <c r="AC179" s="30"/>
      <c r="AD179" s="30"/>
      <c r="AE179" s="30"/>
      <c r="AF179" s="30"/>
      <c r="AG179" s="30"/>
    </row>
    <row r="180" spans="1:33" ht="23.5" customHeight="1" x14ac:dyDescent="0.3">
      <c r="A180" s="359"/>
      <c r="B180" s="96" t="s">
        <v>324</v>
      </c>
      <c r="C180" s="93"/>
      <c r="D180" s="57"/>
      <c r="E180" s="96"/>
      <c r="F180" s="96"/>
      <c r="G180" s="96"/>
      <c r="H180" s="57"/>
      <c r="I180" s="96"/>
      <c r="J180" s="96"/>
      <c r="K180" s="96"/>
      <c r="L180" s="57"/>
      <c r="M180" s="96"/>
      <c r="N180" s="96"/>
      <c r="O180" s="96"/>
      <c r="P180" s="57"/>
      <c r="Q180" s="77" t="s">
        <v>31</v>
      </c>
      <c r="R180" s="77" t="s">
        <v>31</v>
      </c>
      <c r="S180" s="77" t="s">
        <v>31</v>
      </c>
      <c r="T180" s="99" t="s">
        <v>325</v>
      </c>
      <c r="U180" s="85"/>
      <c r="V180" s="327">
        <f>10000000/500</f>
        <v>20000</v>
      </c>
      <c r="W180" s="326">
        <f t="shared" si="12"/>
        <v>10000000</v>
      </c>
      <c r="X180" s="294"/>
      <c r="Y180" s="123"/>
      <c r="Z180" s="44"/>
    </row>
    <row r="181" spans="1:33" ht="28" customHeight="1" x14ac:dyDescent="0.3">
      <c r="A181" s="359"/>
      <c r="B181" s="96" t="s">
        <v>326</v>
      </c>
      <c r="C181" s="93"/>
      <c r="D181" s="57"/>
      <c r="E181" s="96"/>
      <c r="F181" s="96"/>
      <c r="G181" s="96"/>
      <c r="H181" s="57"/>
      <c r="I181" s="96"/>
      <c r="J181" s="96"/>
      <c r="K181" s="96"/>
      <c r="L181" s="57"/>
      <c r="M181" s="96"/>
      <c r="N181" s="96"/>
      <c r="O181" s="96"/>
      <c r="P181" s="57"/>
      <c r="Q181" s="77" t="s">
        <v>31</v>
      </c>
      <c r="R181" s="77" t="s">
        <v>31</v>
      </c>
      <c r="S181" s="77" t="s">
        <v>31</v>
      </c>
      <c r="T181" s="99" t="s">
        <v>327</v>
      </c>
      <c r="U181" s="85"/>
      <c r="V181" s="327">
        <f>20000000/500</f>
        <v>40000</v>
      </c>
      <c r="W181" s="326">
        <f t="shared" si="12"/>
        <v>20000000</v>
      </c>
      <c r="X181" s="294"/>
      <c r="Y181" s="123"/>
      <c r="Z181" s="44"/>
    </row>
    <row r="182" spans="1:33" ht="27" customHeight="1" x14ac:dyDescent="0.3">
      <c r="A182" s="359"/>
      <c r="B182" s="96" t="s">
        <v>328</v>
      </c>
      <c r="C182" s="305"/>
      <c r="D182" s="57"/>
      <c r="E182" s="96"/>
      <c r="F182" s="96"/>
      <c r="G182" s="96"/>
      <c r="H182" s="57"/>
      <c r="I182" s="96"/>
      <c r="J182" s="96"/>
      <c r="K182" s="96"/>
      <c r="L182" s="57"/>
      <c r="M182" s="96"/>
      <c r="N182" s="96"/>
      <c r="O182" s="96"/>
      <c r="P182" s="57"/>
      <c r="Q182" s="77" t="s">
        <v>31</v>
      </c>
      <c r="R182" s="77" t="s">
        <v>31</v>
      </c>
      <c r="S182" s="77" t="s">
        <v>31</v>
      </c>
      <c r="T182" s="99" t="s">
        <v>329</v>
      </c>
      <c r="U182" s="85"/>
      <c r="V182" s="327">
        <f>20000000/500</f>
        <v>40000</v>
      </c>
      <c r="W182" s="326">
        <f t="shared" si="12"/>
        <v>20000000</v>
      </c>
      <c r="X182" s="294"/>
      <c r="Y182" s="123"/>
      <c r="Z182" s="44"/>
    </row>
    <row r="183" spans="1:33" s="31" customFormat="1" x14ac:dyDescent="0.3">
      <c r="A183" s="306" t="s">
        <v>330</v>
      </c>
      <c r="B183" s="307"/>
      <c r="C183" s="307"/>
      <c r="D183" s="307"/>
      <c r="E183" s="307"/>
      <c r="F183" s="307"/>
      <c r="G183" s="307"/>
      <c r="H183" s="307"/>
      <c r="I183" s="307"/>
      <c r="J183" s="307"/>
      <c r="K183" s="307"/>
      <c r="L183" s="307"/>
      <c r="M183" s="307"/>
      <c r="N183" s="307"/>
      <c r="O183" s="307"/>
      <c r="P183" s="307"/>
      <c r="Q183" s="307"/>
      <c r="R183" s="307"/>
      <c r="S183" s="307"/>
      <c r="T183" s="308"/>
      <c r="U183" s="309"/>
      <c r="V183" s="310">
        <f>+V129+V124+V105+V75+V35+V9</f>
        <v>3665174.4384615384</v>
      </c>
      <c r="W183" s="321">
        <f>+V183*500</f>
        <v>1832587219.2307692</v>
      </c>
      <c r="X183" s="311"/>
      <c r="Y183" s="312"/>
      <c r="Z183" s="309"/>
      <c r="AA183" s="288"/>
      <c r="AB183" s="30"/>
      <c r="AC183" s="30"/>
      <c r="AD183" s="30"/>
      <c r="AE183" s="30"/>
      <c r="AF183" s="30"/>
      <c r="AG183" s="30"/>
    </row>
  </sheetData>
  <mergeCells count="119">
    <mergeCell ref="A119:A123"/>
    <mergeCell ref="F4:Z4"/>
    <mergeCell ref="A15:A19"/>
    <mergeCell ref="A1:B1"/>
    <mergeCell ref="F1:Z1"/>
    <mergeCell ref="A2:B2"/>
    <mergeCell ref="E2:Z2"/>
    <mergeCell ref="A5:B5"/>
    <mergeCell ref="F5:Z5"/>
    <mergeCell ref="A10:B10"/>
    <mergeCell ref="Q7:S7"/>
    <mergeCell ref="T7:T8"/>
    <mergeCell ref="U7:U8"/>
    <mergeCell ref="A11:A14"/>
    <mergeCell ref="A6:B6"/>
    <mergeCell ref="E6:Z6"/>
    <mergeCell ref="A7:A8"/>
    <mergeCell ref="B7:B8"/>
    <mergeCell ref="C7:C8"/>
    <mergeCell ref="E7:G7"/>
    <mergeCell ref="I7:K7"/>
    <mergeCell ref="M7:O7"/>
    <mergeCell ref="V39:V40"/>
    <mergeCell ref="Z7:Z8"/>
    <mergeCell ref="V7:V8"/>
    <mergeCell ref="A20:A21"/>
    <mergeCell ref="A41:A42"/>
    <mergeCell ref="A39:A40"/>
    <mergeCell ref="X7:X8"/>
    <mergeCell ref="Y7:Y8"/>
    <mergeCell ref="A26:A28"/>
    <mergeCell ref="A29:A30"/>
    <mergeCell ref="Z20:Z21"/>
    <mergeCell ref="Z22:Z25"/>
    <mergeCell ref="A22:A25"/>
    <mergeCell ref="W7:W8"/>
    <mergeCell ref="W39:W40"/>
    <mergeCell ref="V41:V42"/>
    <mergeCell ref="W41:W42"/>
    <mergeCell ref="T119:T123"/>
    <mergeCell ref="Z119:Z123"/>
    <mergeCell ref="A103:A104"/>
    <mergeCell ref="A96:A98"/>
    <mergeCell ref="Z44:Z46"/>
    <mergeCell ref="A31:A34"/>
    <mergeCell ref="Z32:Z34"/>
    <mergeCell ref="A77:A79"/>
    <mergeCell ref="Z77:Z79"/>
    <mergeCell ref="T77:T79"/>
    <mergeCell ref="A73:A74"/>
    <mergeCell ref="Z48:Z52"/>
    <mergeCell ref="A53:A54"/>
    <mergeCell ref="Z53:Z54"/>
    <mergeCell ref="A56:A58"/>
    <mergeCell ref="Z56:Z58"/>
    <mergeCell ref="A67:A68"/>
    <mergeCell ref="Z67:Z68"/>
    <mergeCell ref="A59:B59"/>
    <mergeCell ref="A61:B61"/>
    <mergeCell ref="A44:A46"/>
    <mergeCell ref="A83:A87"/>
    <mergeCell ref="T83:T87"/>
    <mergeCell ref="T80:T82"/>
    <mergeCell ref="A179:A182"/>
    <mergeCell ref="A166:A170"/>
    <mergeCell ref="Z83:Z87"/>
    <mergeCell ref="Z73:Z74"/>
    <mergeCell ref="A89:A91"/>
    <mergeCell ref="A114:B114"/>
    <mergeCell ref="A92:A95"/>
    <mergeCell ref="T107:T109"/>
    <mergeCell ref="A107:A109"/>
    <mergeCell ref="Z107:Z108"/>
    <mergeCell ref="Z89:Z91"/>
    <mergeCell ref="Z92:Z95"/>
    <mergeCell ref="A116:A118"/>
    <mergeCell ref="T116:T118"/>
    <mergeCell ref="Z116:Z118"/>
    <mergeCell ref="A106:B106"/>
    <mergeCell ref="A126:A128"/>
    <mergeCell ref="D126:D128"/>
    <mergeCell ref="Z126:Z128"/>
    <mergeCell ref="A130:B130"/>
    <mergeCell ref="A143:B143"/>
    <mergeCell ref="A144:A150"/>
    <mergeCell ref="A151:A158"/>
    <mergeCell ref="A159:A164"/>
    <mergeCell ref="A171:A178"/>
    <mergeCell ref="E124:G124"/>
    <mergeCell ref="I124:K124"/>
    <mergeCell ref="M124:O124"/>
    <mergeCell ref="A165:B165"/>
    <mergeCell ref="A129:B129"/>
    <mergeCell ref="Q124:S124"/>
    <mergeCell ref="T126:T127"/>
    <mergeCell ref="A125:B125"/>
    <mergeCell ref="E129:G129"/>
    <mergeCell ref="I129:K129"/>
    <mergeCell ref="M129:O129"/>
    <mergeCell ref="Q129:S129"/>
    <mergeCell ref="A112:A113"/>
    <mergeCell ref="T103:T104"/>
    <mergeCell ref="Z11:Z14"/>
    <mergeCell ref="Z15:Z19"/>
    <mergeCell ref="Z39:Z40"/>
    <mergeCell ref="Z41:Z42"/>
    <mergeCell ref="Z64:Z65"/>
    <mergeCell ref="Z96:Z98"/>
    <mergeCell ref="Z103:Z104"/>
    <mergeCell ref="V45:V46"/>
    <mergeCell ref="A64:A65"/>
    <mergeCell ref="Z80:Z82"/>
    <mergeCell ref="A72:B72"/>
    <mergeCell ref="A80:A82"/>
    <mergeCell ref="A48:A52"/>
    <mergeCell ref="W45:W46"/>
    <mergeCell ref="A70:A71"/>
    <mergeCell ref="Z70:Z71"/>
    <mergeCell ref="Z112:Z113"/>
  </mergeCells>
  <phoneticPr fontId="11" type="noConversion"/>
  <printOptions horizontalCentered="1"/>
  <pageMargins left="0.39370078740157483" right="0.19685039370078741" top="0.15748031496062992" bottom="0.15748031496062992" header="0.11811023622047245" footer="0.11811023622047245"/>
  <pageSetup paperSize="9" scale="72" orientation="landscape" horizontalDpi="4294967295" verticalDpi="4294967295" r:id="rId1"/>
  <rowBreaks count="5" manualBreakCount="5">
    <brk id="24" max="20" man="1"/>
    <brk id="32" max="20" man="1"/>
    <brk id="58" max="20" man="1"/>
    <brk id="66" max="20" man="1"/>
    <brk id="92" max="20" man="1"/>
  </rowBreaks>
  <ignoredErrors>
    <ignoredError sqref="W131 V140 W138 W144 W151 W159 W166 V174 V176 W17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tabSelected="1" topLeftCell="A5" zoomScale="120" zoomScaleNormal="120" workbookViewId="0">
      <selection activeCell="F6" sqref="F6:F10"/>
    </sheetView>
  </sheetViews>
  <sheetFormatPr baseColWidth="10" defaultColWidth="11.453125" defaultRowHeight="14.5" x14ac:dyDescent="0.35"/>
  <cols>
    <col min="1" max="1" width="7.7265625" customWidth="1"/>
    <col min="2" max="2" width="37" customWidth="1"/>
    <col min="3" max="3" width="12" customWidth="1"/>
    <col min="4" max="4" width="13.26953125" customWidth="1"/>
    <col min="5" max="5" width="17" customWidth="1"/>
    <col min="6" max="6" width="14.54296875" customWidth="1"/>
    <col min="7" max="7" width="2.1796875" customWidth="1"/>
  </cols>
  <sheetData>
    <row r="3" spans="1:7" x14ac:dyDescent="0.35">
      <c r="A3" s="408" t="s">
        <v>331</v>
      </c>
      <c r="B3" s="408"/>
      <c r="C3" s="408"/>
      <c r="D3" s="408"/>
      <c r="E3" s="408"/>
    </row>
    <row r="4" spans="1:7" ht="15" thickBot="1" x14ac:dyDescent="0.4">
      <c r="A4" s="15"/>
      <c r="B4" s="16"/>
      <c r="C4" s="15"/>
      <c r="D4" s="15">
        <v>500</v>
      </c>
      <c r="E4" s="15"/>
    </row>
    <row r="5" spans="1:7" ht="15" thickTop="1" x14ac:dyDescent="0.35">
      <c r="A5" s="17"/>
      <c r="B5" s="18" t="s">
        <v>332</v>
      </c>
      <c r="C5" s="19" t="s">
        <v>333</v>
      </c>
      <c r="D5" s="19" t="s">
        <v>334</v>
      </c>
      <c r="E5" s="20" t="s">
        <v>335</v>
      </c>
    </row>
    <row r="6" spans="1:7" ht="35.25" customHeight="1" x14ac:dyDescent="0.35">
      <c r="A6" s="21">
        <v>1</v>
      </c>
      <c r="B6" s="7" t="s">
        <v>336</v>
      </c>
      <c r="C6" s="22">
        <f>+'PTBA 2023 CERViDA'!V9</f>
        <v>509437.78399999999</v>
      </c>
      <c r="D6" s="23">
        <f t="shared" ref="D6:D11" si="0">+C6*500</f>
        <v>254718892</v>
      </c>
      <c r="E6" s="32">
        <f>+C6/$C$12</f>
        <v>0.13899414408604169</v>
      </c>
      <c r="F6" s="409">
        <f>D6+25000000</f>
        <v>279718892</v>
      </c>
    </row>
    <row r="7" spans="1:7" ht="44.25" customHeight="1" x14ac:dyDescent="0.35">
      <c r="A7" s="21">
        <v>2</v>
      </c>
      <c r="B7" s="7" t="s">
        <v>337</v>
      </c>
      <c r="C7" s="22">
        <f>+'PTBA 2023 CERViDA'!V35</f>
        <v>556144.53846153826</v>
      </c>
      <c r="D7" s="23">
        <f t="shared" si="0"/>
        <v>278072269.23076916</v>
      </c>
      <c r="E7" s="32">
        <f>+C7/$C$12</f>
        <v>0.15173753604343607</v>
      </c>
      <c r="F7" s="409">
        <f>+D7+25000000</f>
        <v>303072269.23076916</v>
      </c>
    </row>
    <row r="8" spans="1:7" ht="28.5" customHeight="1" x14ac:dyDescent="0.35">
      <c r="A8" s="21">
        <v>3</v>
      </c>
      <c r="B8" s="7" t="s">
        <v>338</v>
      </c>
      <c r="C8" s="22">
        <f>+'PTBA 2023 CERViDA'!V75</f>
        <v>419000</v>
      </c>
      <c r="D8" s="23">
        <f t="shared" si="0"/>
        <v>209500000</v>
      </c>
      <c r="E8" s="32">
        <f>+C8/$C$12</f>
        <v>0.11431925193057818</v>
      </c>
      <c r="F8" s="24">
        <f>+D8+100000000</f>
        <v>309500000</v>
      </c>
    </row>
    <row r="9" spans="1:7" ht="28.5" customHeight="1" x14ac:dyDescent="0.35">
      <c r="A9" s="21">
        <v>4</v>
      </c>
      <c r="B9" s="7" t="s">
        <v>339</v>
      </c>
      <c r="C9" s="22">
        <f>+'PTBA 2023 CERViDA'!V105</f>
        <v>189400</v>
      </c>
      <c r="D9" s="23">
        <f t="shared" si="0"/>
        <v>94700000</v>
      </c>
      <c r="E9" s="32">
        <f t="shared" ref="E9:E11" si="1">+C9/$C$12</f>
        <v>5.1675575932342496E-2</v>
      </c>
      <c r="F9" s="410">
        <f>+D9+200000000</f>
        <v>294700000</v>
      </c>
    </row>
    <row r="10" spans="1:7" ht="43.5" customHeight="1" x14ac:dyDescent="0.35">
      <c r="A10" s="21">
        <v>5</v>
      </c>
      <c r="B10" s="7" t="s">
        <v>340</v>
      </c>
      <c r="C10" s="22">
        <f>+'PTBA 2023 CERViDA'!V124</f>
        <v>1291192.1159999999</v>
      </c>
      <c r="D10" s="23">
        <f t="shared" si="0"/>
        <v>645596058</v>
      </c>
      <c r="E10" s="32">
        <f t="shared" si="1"/>
        <v>0.35228667493980981</v>
      </c>
      <c r="F10" s="24">
        <f>+D10</f>
        <v>645596058</v>
      </c>
    </row>
    <row r="11" spans="1:7" ht="43.5" customHeight="1" x14ac:dyDescent="0.35">
      <c r="A11" s="36">
        <v>6</v>
      </c>
      <c r="B11" s="39" t="s">
        <v>234</v>
      </c>
      <c r="C11" s="37">
        <f>+'PTBA 2023 CERViDA'!V129</f>
        <v>700000</v>
      </c>
      <c r="D11" s="38">
        <f t="shared" si="0"/>
        <v>350000000</v>
      </c>
      <c r="E11" s="32">
        <f t="shared" si="1"/>
        <v>0.19098681706779169</v>
      </c>
    </row>
    <row r="12" spans="1:7" ht="15" thickBot="1" x14ac:dyDescent="0.4">
      <c r="A12" s="26">
        <v>7</v>
      </c>
      <c r="B12" s="27" t="s">
        <v>330</v>
      </c>
      <c r="C12" s="28">
        <f>SUM(C6:C11)</f>
        <v>3665174.4384615384</v>
      </c>
      <c r="D12" s="29">
        <f>SUM(D6:D11)</f>
        <v>1832587219.2307692</v>
      </c>
      <c r="E12" s="33">
        <f>+C12/C12</f>
        <v>1</v>
      </c>
      <c r="F12" s="24">
        <f>SUM(F6:F11)</f>
        <v>1832587219.2307692</v>
      </c>
      <c r="G12" s="25"/>
    </row>
    <row r="13" spans="1:7" ht="15" thickTop="1" x14ac:dyDescent="0.35"/>
  </sheetData>
  <mergeCells count="1">
    <mergeCell ref="A3:E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4cbd40-fc6d-4c0a-9217-0f6cd4b26116" xsi:nil="true"/>
    <lcf76f155ced4ddcb4097134ff3c332f xmlns="aeaaafad-0aeb-47f1-beb2-3e40a0446ae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673C04CFF664498C6D230F7DC9002D" ma:contentTypeVersion="19" ma:contentTypeDescription="Create a new document." ma:contentTypeScope="" ma:versionID="9d0228dc8e8881149f13339f46072468">
  <xsd:schema xmlns:xsd="http://www.w3.org/2001/XMLSchema" xmlns:xs="http://www.w3.org/2001/XMLSchema" xmlns:p="http://schemas.microsoft.com/office/2006/metadata/properties" xmlns:ns2="aeaaafad-0aeb-47f1-beb2-3e40a0446ae1" xmlns:ns3="794cbd40-fc6d-4c0a-9217-0f6cd4b26116" targetNamespace="http://schemas.microsoft.com/office/2006/metadata/properties" ma:root="true" ma:fieldsID="70a16b68e8d9281f3cea3dcce48a5fd9" ns2:_="" ns3:_="">
    <xsd:import namespace="aeaaafad-0aeb-47f1-beb2-3e40a0446ae1"/>
    <xsd:import namespace="794cbd40-fc6d-4c0a-9217-0f6cd4b261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aaafad-0aeb-47f1-beb2-3e40a0446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a3f2f0c-00e4-4e4f-add3-e818a4e3ba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4cbd40-fc6d-4c0a-9217-0f6cd4b261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982a3c-a517-4a4b-806b-1d2044dc0380}" ma:internalName="TaxCatchAll" ma:showField="CatchAllData" ma:web="794cbd40-fc6d-4c0a-9217-0f6cd4b26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2DAEC1-3746-4B88-8AFE-BA0F961691CD}">
  <ds:schemaRefs>
    <ds:schemaRef ds:uri="http://schemas.microsoft.com/sharepoint/v3/contenttype/forms"/>
  </ds:schemaRefs>
</ds:datastoreItem>
</file>

<file path=customXml/itemProps2.xml><?xml version="1.0" encoding="utf-8"?>
<ds:datastoreItem xmlns:ds="http://schemas.openxmlformats.org/officeDocument/2006/customXml" ds:itemID="{BF5E82A2-83AC-4181-B3DD-9D648C0D466A}">
  <ds:schemaRefs>
    <ds:schemaRef ds:uri="794cbd40-fc6d-4c0a-9217-0f6cd4b26116"/>
    <ds:schemaRef ds:uri="http://purl.org/dc/terms/"/>
    <ds:schemaRef ds:uri="http://schemas.microsoft.com/office/2006/documentManagement/types"/>
    <ds:schemaRef ds:uri="http://purl.org/dc/dcmitype/"/>
    <ds:schemaRef ds:uri="aeaaafad-0aeb-47f1-beb2-3e40a0446ae1"/>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F1794E6-CBC6-4B50-9B36-8C1A5F1C6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aaafad-0aeb-47f1-beb2-3e40a0446ae1"/>
    <ds:schemaRef ds:uri="794cbd40-fc6d-4c0a-9217-0f6cd4b26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PTBA 2023 CERViDA</vt:lpstr>
      <vt:lpstr>RECAPITULATIF</vt:lpstr>
      <vt:lpstr>Feuil2</vt:lpstr>
      <vt:lpstr>'PTBA 2023 CERViDA'!Zone_d_impression</vt:lpstr>
      <vt:lpstr>RECAPITULATIF!Zone_d_impression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Mr Firmin</cp:lastModifiedBy>
  <cp:revision/>
  <dcterms:created xsi:type="dcterms:W3CDTF">2021-02-14T12:02:58Z</dcterms:created>
  <dcterms:modified xsi:type="dcterms:W3CDTF">2023-05-22T06:05:41Z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0x01010064673C04CFF664498C6D230F7DC9002D</vt:lpwstr>
  </property>
  <property fmtid="{D5CDD505-2E9C-101B-9397-08002B2CF9AE}" pid="3" name="MediaServiceImageTags">
    <vt:lpwstr/>
  </property>
</Properties>
</file>